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User\Desktop\contrattazione\"/>
    </mc:Choice>
  </mc:AlternateContent>
  <bookViews>
    <workbookView xWindow="0" yWindow="0" windowWidth="21570" windowHeight="7965"/>
  </bookViews>
  <sheets>
    <sheet name="TABELLA A" sheetId="1" r:id="rId1"/>
    <sheet name="TABELLA B" sheetId="2" r:id="rId2"/>
    <sheet name="TABELLA C" sheetId="3" r:id="rId3"/>
  </sheets>
  <definedNames>
    <definedName name="_xlnm.Print_Area" localSheetId="0">'TABELLA A'!$A$1:$F$54</definedName>
  </definedNames>
  <calcPr calcId="162913"/>
</workbook>
</file>

<file path=xl/calcChain.xml><?xml version="1.0" encoding="utf-8"?>
<calcChain xmlns="http://schemas.openxmlformats.org/spreadsheetml/2006/main">
  <c r="F13" i="1" l="1"/>
  <c r="E17" i="1"/>
  <c r="F17" i="1"/>
  <c r="E28" i="1"/>
  <c r="F28" i="1"/>
  <c r="F30" i="1"/>
  <c r="E36" i="1"/>
  <c r="E37" i="1" s="1"/>
  <c r="E38" i="1" s="1"/>
  <c r="E40" i="1" s="1"/>
  <c r="E42" i="1" s="1"/>
  <c r="F36" i="1"/>
  <c r="F37" i="1" s="1"/>
  <c r="F38" i="1" s="1"/>
  <c r="F40" i="1" s="1"/>
  <c r="F42" i="1" s="1"/>
  <c r="E47" i="1"/>
  <c r="F48" i="1" s="1"/>
  <c r="F47" i="1"/>
  <c r="D18" i="2"/>
  <c r="C25" i="2" s="1"/>
  <c r="C28" i="2" s="1"/>
  <c r="C39" i="2"/>
  <c r="C48" i="2"/>
  <c r="C50" i="2" s="1"/>
  <c r="E12" i="3"/>
  <c r="G12" i="3"/>
  <c r="H12" i="3"/>
  <c r="E13" i="3"/>
  <c r="G13" i="3"/>
  <c r="H13" i="3"/>
  <c r="E14" i="3"/>
  <c r="G14" i="3"/>
  <c r="H14" i="3"/>
  <c r="E15" i="3"/>
  <c r="G15" i="3"/>
  <c r="H15" i="3"/>
  <c r="E16" i="3"/>
  <c r="G16" i="3"/>
  <c r="C17" i="3"/>
  <c r="E17" i="3" s="1"/>
  <c r="E18" i="3"/>
  <c r="H18" i="3" s="1"/>
  <c r="G18" i="3"/>
  <c r="E19" i="3"/>
  <c r="E20" i="3"/>
  <c r="G20" i="3"/>
  <c r="E21" i="3"/>
  <c r="G21" i="3"/>
  <c r="E22" i="3"/>
  <c r="G22" i="3"/>
  <c r="E23" i="3"/>
  <c r="G23" i="3"/>
  <c r="E24" i="3"/>
  <c r="G24" i="3"/>
  <c r="E26" i="3"/>
  <c r="G26" i="3"/>
  <c r="E27" i="3"/>
  <c r="G27" i="3"/>
  <c r="E28" i="3"/>
  <c r="G28" i="3"/>
  <c r="E29" i="3"/>
  <c r="G29" i="3"/>
  <c r="E30" i="3"/>
  <c r="G30" i="3"/>
  <c r="E31" i="3"/>
  <c r="G31" i="3"/>
  <c r="E32" i="3"/>
  <c r="G32" i="3"/>
  <c r="E33" i="3"/>
  <c r="G33" i="3"/>
  <c r="E34" i="3"/>
  <c r="G34" i="3"/>
  <c r="E35" i="3"/>
  <c r="G35" i="3"/>
  <c r="E36" i="3"/>
  <c r="G36" i="3"/>
  <c r="C37" i="3"/>
  <c r="C38" i="3"/>
  <c r="E38" i="3" s="1"/>
  <c r="G38" i="3"/>
  <c r="C39" i="3"/>
  <c r="E39" i="3" s="1"/>
  <c r="C40" i="3"/>
  <c r="E40" i="3" s="1"/>
  <c r="C41" i="3"/>
  <c r="E41" i="3"/>
  <c r="G41" i="3"/>
  <c r="C42" i="3"/>
  <c r="E42" i="3" s="1"/>
  <c r="G42" i="3"/>
  <c r="E45" i="3"/>
  <c r="G45" i="3"/>
  <c r="E46" i="3"/>
  <c r="G46" i="3"/>
  <c r="E47" i="3"/>
  <c r="G47" i="3"/>
  <c r="C48" i="3"/>
  <c r="E48" i="3"/>
  <c r="G48" i="3"/>
  <c r="E55" i="3"/>
  <c r="G55" i="3"/>
  <c r="E56" i="3"/>
  <c r="G56" i="3"/>
  <c r="E57" i="3"/>
  <c r="G57" i="3"/>
  <c r="E58" i="3"/>
  <c r="G58" i="3"/>
  <c r="E59" i="3"/>
  <c r="G59" i="3"/>
  <c r="E60" i="3"/>
  <c r="G60" i="3"/>
  <c r="C61" i="3"/>
  <c r="E62" i="3"/>
  <c r="G62" i="3"/>
  <c r="E63" i="3"/>
  <c r="G63" i="3"/>
  <c r="E64" i="3"/>
  <c r="G64" i="3"/>
  <c r="E65" i="3"/>
  <c r="G65" i="3"/>
  <c r="C66" i="3"/>
  <c r="E66" i="3" s="1"/>
  <c r="E76" i="3" s="1"/>
  <c r="E67" i="3"/>
  <c r="G67" i="3"/>
  <c r="C68" i="3"/>
  <c r="E68" i="3" s="1"/>
  <c r="G68" i="3"/>
  <c r="G70" i="3"/>
  <c r="E75" i="3"/>
  <c r="G75" i="3"/>
  <c r="C76" i="3"/>
  <c r="A84" i="3"/>
  <c r="C84" i="3"/>
  <c r="E84" i="3"/>
  <c r="A85" i="3"/>
  <c r="C85" i="3" s="1"/>
  <c r="E85" i="3"/>
  <c r="A87" i="3"/>
  <c r="C87" i="3" s="1"/>
  <c r="A89" i="3"/>
  <c r="C89" i="3" s="1"/>
  <c r="A91" i="3"/>
  <c r="E91" i="3"/>
  <c r="A92" i="3"/>
  <c r="C92" i="3" s="1"/>
  <c r="A94" i="3"/>
  <c r="C94" i="3" s="1"/>
  <c r="A95" i="3"/>
  <c r="C95" i="3"/>
  <c r="E95" i="3"/>
  <c r="A97" i="3"/>
  <c r="C97" i="3" s="1"/>
  <c r="E97" i="3"/>
  <c r="A98" i="3"/>
  <c r="C98" i="3" s="1"/>
  <c r="A100" i="3"/>
  <c r="C100" i="3" s="1"/>
  <c r="A102" i="3"/>
  <c r="C102" i="3"/>
  <c r="E102" i="3"/>
  <c r="A104" i="3"/>
  <c r="C104" i="3" s="1"/>
  <c r="E104" i="3"/>
  <c r="A106" i="3"/>
  <c r="C106" i="3" s="1"/>
  <c r="I108" i="3"/>
  <c r="A109" i="3"/>
  <c r="C109" i="3" s="1"/>
  <c r="A112" i="3"/>
  <c r="C112" i="3" s="1"/>
  <c r="A114" i="3"/>
  <c r="C114" i="3"/>
  <c r="E114" i="3"/>
  <c r="H115" i="3"/>
  <c r="E123" i="3"/>
  <c r="G123" i="3" s="1"/>
  <c r="G137" i="3" s="1"/>
  <c r="G124" i="3"/>
  <c r="G125" i="3"/>
  <c r="G126" i="3"/>
  <c r="G127" i="3"/>
  <c r="G129" i="3"/>
  <c r="G130" i="3"/>
  <c r="G131" i="3"/>
  <c r="G132" i="3"/>
  <c r="G133" i="3"/>
  <c r="H133" i="3"/>
  <c r="G134" i="3"/>
  <c r="G135" i="3"/>
  <c r="G136" i="3"/>
  <c r="A137" i="3"/>
  <c r="D137" i="3"/>
  <c r="B142" i="3"/>
  <c r="A147" i="3" s="1"/>
  <c r="F49" i="1" l="1"/>
  <c r="F53" i="1" s="1"/>
  <c r="C147" i="3"/>
  <c r="E147" i="3"/>
  <c r="C117" i="3"/>
  <c r="F51" i="1"/>
  <c r="F52" i="1"/>
  <c r="A148" i="3"/>
  <c r="A153" i="3"/>
  <c r="A149" i="3"/>
  <c r="A145" i="3"/>
  <c r="E137" i="3"/>
  <c r="E141" i="3" s="1"/>
  <c r="A117" i="3"/>
  <c r="E109" i="3"/>
  <c r="E106" i="3"/>
  <c r="E98" i="3"/>
  <c r="E92" i="3"/>
  <c r="E87" i="3"/>
  <c r="G66" i="3"/>
  <c r="G76" i="3" s="1"/>
  <c r="G39" i="3"/>
  <c r="E112" i="3"/>
  <c r="E100" i="3"/>
  <c r="E94" i="3"/>
  <c r="E117" i="3" s="1"/>
  <c r="E89" i="3"/>
  <c r="C49" i="3"/>
  <c r="G40" i="3"/>
  <c r="C25" i="3"/>
  <c r="J50" i="3" s="1"/>
  <c r="G17" i="3"/>
  <c r="H17" i="3" s="1"/>
  <c r="A152" i="3"/>
  <c r="A150" i="3"/>
  <c r="A146" i="3"/>
  <c r="A151" i="3"/>
  <c r="E146" i="3" l="1"/>
  <c r="C146" i="3"/>
  <c r="C148" i="3"/>
  <c r="E148" i="3"/>
  <c r="C150" i="3"/>
  <c r="E150" i="3"/>
  <c r="E145" i="3"/>
  <c r="A154" i="3"/>
  <c r="C145" i="3"/>
  <c r="C152" i="3"/>
  <c r="E152" i="3"/>
  <c r="E149" i="3"/>
  <c r="C149" i="3"/>
  <c r="C151" i="3"/>
  <c r="E151" i="3"/>
  <c r="E153" i="3"/>
  <c r="C153" i="3"/>
</calcChain>
</file>

<file path=xl/sharedStrings.xml><?xml version="1.0" encoding="utf-8"?>
<sst xmlns="http://schemas.openxmlformats.org/spreadsheetml/2006/main" count="469" uniqueCount="351">
  <si>
    <t>Costituzione Fondo risorse contrattazione integrativa
Dal 2016</t>
  </si>
  <si>
    <t>TABELLA “A”</t>
  </si>
  <si>
    <t>DESCRIZIONE</t>
  </si>
  <si>
    <t>Risorse stabili</t>
  </si>
  <si>
    <r>
      <t xml:space="preserve">UNICO IMPORTO CONSOLIDATO ANNO 2003 - </t>
    </r>
    <r>
      <rPr>
        <i/>
        <sz val="8"/>
        <rFont val="Arial"/>
        <family val="2"/>
      </rPr>
      <t>(ART. 31 C.2 CCNL 2002-05)</t>
    </r>
  </si>
  <si>
    <r>
      <t xml:space="preserve">INCREMENTI CCNL 2002-05 - </t>
    </r>
    <r>
      <rPr>
        <i/>
        <sz val="8"/>
        <rFont val="Arial"/>
        <family val="2"/>
      </rPr>
      <t>(ART. 32 CC. 1,2,7)</t>
    </r>
  </si>
  <si>
    <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</si>
  <si>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t xml:space="preserve">INCREMENTI CCNL 2006-09 - </t>
    </r>
    <r>
      <rPr>
        <i/>
        <sz val="8"/>
        <rFont val="Arial"/>
        <family val="2"/>
      </rPr>
      <t>(ART. 8. CC. 2,5,6,7 PARTE FISSA)</t>
    </r>
  </si>
  <si>
    <t>RISPARMI EX ART. 2 C. 3 D.LGS 165/2001</t>
  </si>
  <si>
    <r>
      <t xml:space="preserve">RIDETERMINAZIONE PER INCREMENTO STIPENDIO - </t>
    </r>
    <r>
      <rPr>
        <i/>
        <sz val="8"/>
        <rFont val="Arial"/>
        <family val="2"/>
      </rPr>
      <t>(DICHIARAZIONE CONGIUNTA N.14 CCNL 2002-05 - N.1 CCNL 2008-09)</t>
    </r>
  </si>
  <si>
    <r>
      <t xml:space="preserve">INCREMENTO PER RIDUZIONE STABILE STRAORDINARIO - </t>
    </r>
    <r>
      <rPr>
        <i/>
        <sz val="8"/>
        <rFont val="Arial"/>
        <family val="2"/>
      </rPr>
      <t>(ART. 14 C.1 CCNL 1998-2001)</t>
    </r>
  </si>
  <si>
    <r>
      <t xml:space="preserve">INCREMENTO PER PROCESSI DECENTRAMENTO E TRASFERIMENTO FUNZIONI - </t>
    </r>
    <r>
      <rPr>
        <i/>
        <sz val="8"/>
        <rFont val="Arial"/>
        <family val="2"/>
      </rPr>
      <t>(ART.15, C.1, lett. L), CCNL 1998-2001)</t>
    </r>
  </si>
  <si>
    <r>
      <t xml:space="preserve">INCREMENTO PER RIORGANIZZAZIONI CON AUMENTO DOTAZIONE ORGANICA - </t>
    </r>
    <r>
      <rPr>
        <i/>
        <sz val="8"/>
        <rFont val="Arial"/>
        <family val="2"/>
      </rPr>
      <t>(ART.15, C.5, CCNL 1998-2001 PARTE FISSA)</t>
    </r>
  </si>
  <si>
    <r>
      <t xml:space="preserve">RIA E ASSEGNI AD PERSONAM PERSONALE CESSATO - </t>
    </r>
    <r>
      <rPr>
        <i/>
        <sz val="8"/>
        <rFont val="Arial"/>
        <family val="2"/>
      </rPr>
      <t>(ART. 4, C.2, CCNL 2000-01) - DAL 2011</t>
    </r>
  </si>
  <si>
    <t>RIDUZIONI FONDO PER PERSONALE ATA, POSIZIONI ORGANIZZATIVE, PROCESSI ESTERNALIZZAZIONE (con segno meno)</t>
  </si>
  <si>
    <t>DECURTAZIONI DEL FONDO - PARTE FISSA</t>
  </si>
  <si>
    <t>CONSOLIDAMENTO DECURTAZIONE ANNI 2011-2014 DAL 2015 IN POI</t>
  </si>
  <si>
    <t>TOTALE RISORSE STABILI</t>
  </si>
  <si>
    <t>Risorse variabili soggette al limite</t>
  </si>
  <si>
    <r>
      <t xml:space="preserve">SPONSORIZZAZIONI, ACCORDI COLLABORAZIONE, ECC. - </t>
    </r>
    <r>
      <rPr>
        <i/>
        <sz val="8"/>
        <rFont val="Arial"/>
        <family val="2"/>
      </rPr>
      <t xml:space="preserve">(ART. 43, L. 449/1997; ART. 15, C.1, lett. D), CCNL 1998-2001) </t>
    </r>
  </si>
  <si>
    <r>
      <t xml:space="preserve">RECUPERO EVASIONE ICI - </t>
    </r>
    <r>
      <rPr>
        <i/>
        <sz val="8"/>
        <rFont val="Arial"/>
        <family val="2"/>
      </rPr>
      <t>(ART. 4, C.3, CCNL 2000-2001; ART. 3, C. 57, L.662/1996, ART. 59, C.1, lett. P), D.LGS 446/1997)</t>
    </r>
  </si>
  <si>
    <r>
      <t xml:space="preserve">SPECIFICHE DISPOSIZIONI DI LEGGE - </t>
    </r>
    <r>
      <rPr>
        <i/>
        <sz val="8"/>
        <rFont val="Arial"/>
        <family val="2"/>
      </rPr>
      <t>(ART. 15 C. 1 lett. K) CCNL 1998-01)</t>
    </r>
    <r>
      <rPr>
        <sz val="9"/>
        <rFont val="Arial"/>
        <family val="2"/>
      </rPr>
      <t xml:space="preserve">  anno 2013  compreso progetto distretto socio sanitario</t>
    </r>
  </si>
  <si>
    <r>
      <t xml:space="preserve">INTEGRAZIONE FONDO CCIAA IN EQUILIBRIO FINANZIARIO - </t>
    </r>
    <r>
      <rPr>
        <i/>
        <sz val="8"/>
        <rFont val="Arial"/>
        <family val="2"/>
      </rPr>
      <t>(ART. 15, C.1, lett. N), CCNL 1998-2001)</t>
    </r>
  </si>
  <si>
    <r>
      <t xml:space="preserve">NUOVI SERVIZI E RIORGANIZZAZIONI SENZA AUMENTO DOTAZIONE ORGANICA - </t>
    </r>
    <r>
      <rPr>
        <i/>
        <sz val="8"/>
        <rFont val="Arial"/>
        <family val="2"/>
      </rPr>
      <t>(ART.15, C.5, CCNL 1998-2001 PARTE VARIABILE)</t>
    </r>
  </si>
  <si>
    <r>
      <t xml:space="preserve">INTEGRAZIONE 1,2% - </t>
    </r>
    <r>
      <rPr>
        <i/>
        <sz val="8"/>
        <rFont val="Arial"/>
        <family val="2"/>
      </rPr>
      <t>(ART. 15, C.2, CCNL 1998-2001)</t>
    </r>
  </si>
  <si>
    <r>
      <t xml:space="preserve">MESSI NOTIFICATORI - </t>
    </r>
    <r>
      <rPr>
        <i/>
        <sz val="8"/>
        <rFont val="Arial"/>
        <family val="2"/>
      </rPr>
      <t>(ART. 54, CCNL 14.9.2000)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</si>
  <si>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14.9.2000)</t>
    </r>
    <r>
      <rPr>
        <sz val="9"/>
        <rFont val="Arial"/>
        <family val="2"/>
      </rPr>
      <t xml:space="preserve"> </t>
    </r>
  </si>
  <si>
    <t>DECURTAZIONI DEL FONDO - PARTE VARIABILE</t>
  </si>
  <si>
    <t>Totale Risorse variabili soggette al limite</t>
  </si>
  <si>
    <t>Risorse variabili NON soggette al limite</t>
  </si>
  <si>
    <r>
      <t xml:space="preserve">ECONOMIE FONDO ANNO PRECEDENTE - </t>
    </r>
    <r>
      <rPr>
        <i/>
        <sz val="8"/>
        <rFont val="Arial"/>
        <family val="2"/>
      </rPr>
      <t>(</t>
    </r>
    <r>
      <rPr>
        <i/>
        <sz val="8"/>
        <color indexed="8"/>
        <rFont val="Arial"/>
        <family val="2"/>
      </rPr>
      <t>ART. 17, C.5, CCNL 1998-2001)</t>
    </r>
  </si>
  <si>
    <r>
      <t xml:space="preserve">ECONOMIE FONDO STRAORDINARIO CONFLUITE - </t>
    </r>
    <r>
      <rPr>
        <i/>
        <sz val="8"/>
        <rFont val="Arial"/>
        <family val="2"/>
      </rPr>
      <t>(ART. 14, C.4, CCNL 1998-2001)</t>
    </r>
  </si>
  <si>
    <r>
      <t xml:space="preserve">QUOTE PER LA PROGETTAZIONE - </t>
    </r>
    <r>
      <rPr>
        <i/>
        <sz val="8"/>
        <rFont val="Arial"/>
        <family val="2"/>
      </rPr>
      <t>(ART. 15, C.1 LETT. K), CCNL 1998-2001; ART. 92, CC. 5-6,  D.LGS. 163/2006)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</si>
  <si>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14/9/2000)</t>
    </r>
    <r>
      <rPr>
        <sz val="9"/>
        <rFont val="Arial"/>
        <family val="2"/>
      </rPr>
      <t xml:space="preserve"> </t>
    </r>
  </si>
  <si>
    <r>
      <t>SPONSORIZZAZIONI, ACCORDI DI COLLABORAZIONI, COMPENSI ISTAT,</t>
    </r>
    <r>
      <rPr>
        <i/>
        <sz val="9"/>
        <rFont val="Arial"/>
        <family val="2"/>
      </rPr>
      <t xml:space="preserve"> ECC.</t>
    </r>
    <r>
      <rPr>
        <sz val="9"/>
        <rFont val="Arial"/>
        <family val="2"/>
      </rPr>
      <t xml:space="preserve"> - </t>
    </r>
    <r>
      <rPr>
        <i/>
        <sz val="8"/>
        <rFont val="Arial"/>
        <family val="2"/>
      </rPr>
      <t>(ART. 43, L. 449/1997; ART. 15, C.1, lett. D), CCNL 1998-2001)</t>
    </r>
    <r>
      <rPr>
        <sz val="9"/>
        <rFont val="Arial"/>
        <family val="2"/>
      </rPr>
      <t xml:space="preserve"> </t>
    </r>
  </si>
  <si>
    <r>
      <t xml:space="preserve">RISORSE PIANI RAZIONALIZZAZIONE E RIQUALIFICAZIONE SPESA - </t>
    </r>
    <r>
      <rPr>
        <i/>
        <sz val="8"/>
        <rFont val="Arial"/>
        <family val="2"/>
      </rPr>
      <t>(ART. 15, COMMA 1, lett. K); ART. 16, COMMI 4 E 5, DL 98/2011)</t>
    </r>
  </si>
  <si>
    <t>Totale Risorse variabili NON soggette al limite</t>
  </si>
  <si>
    <t>TOTALE RISORSE VARIABILI</t>
  </si>
  <si>
    <t xml:space="preserve">TOTALE </t>
  </si>
  <si>
    <t xml:space="preserve">TOTALE  DEPURATO DELLE VOCI NON SOGGETTE AL VINCOLO </t>
  </si>
  <si>
    <t>TOTALE  DEPURATO DELLE VOCI NON SOGGETTE AL VINCOLO</t>
  </si>
  <si>
    <t>Calcolo delle riduzioni previste</t>
  </si>
  <si>
    <t xml:space="preserve">Decurtazione per effetto della riduzione di personale (unità): </t>
  </si>
  <si>
    <t>PERSONALE A INIZIO ANNO (al 1 gennaio)</t>
  </si>
  <si>
    <t>PERSONALE A FINE ANNO (al 31 dicembre)</t>
  </si>
  <si>
    <t>PERSONALE DELL'ANNO CON METODO DELLA SEMISOMMA</t>
  </si>
  <si>
    <t>PERCENTUALE DI RIDUZIONE DEL LIMITE</t>
  </si>
  <si>
    <t>RIDUZIONE DA APPORTARE AL FONDO</t>
  </si>
  <si>
    <t>TABELLA B)</t>
  </si>
  <si>
    <t xml:space="preserve">CITTA' DI VITTORIA </t>
  </si>
  <si>
    <t>Provincia di Ragusa</t>
  </si>
  <si>
    <t>COSTITUZIONE  RISORSE DECENTRATE FINANZIARIE PER IL PERSONALE DIPENDENTE PER L'ANNO 2016</t>
  </si>
  <si>
    <t>(artt. 31 e 32 CCNL 22/01/2004, art. 4, comma 1, CCNL 09/05/2006 e art.8 CCNL 11/04/2008 comparto personale  Regioni- Autonomie locali</t>
  </si>
  <si>
    <t>Risorse fisse aventi carattere di certezza e stabilità</t>
  </si>
  <si>
    <t>Risorse storiche</t>
  </si>
  <si>
    <t xml:space="preserve">Unico importo consolidato anno 2003 (art. 31 c. 2 Ccnl 2002-2005) </t>
  </si>
  <si>
    <r>
      <t xml:space="preserve">€ </t>
    </r>
    <r>
      <rPr>
        <sz val="12"/>
        <color indexed="8"/>
        <rFont val="Arial"/>
        <family val="2"/>
      </rPr>
      <t>907.974,79</t>
    </r>
  </si>
  <si>
    <t>Incrementi contrattuali</t>
  </si>
  <si>
    <t>CCNL 22/1/2004 art. 32 c. 1</t>
  </si>
  <si>
    <t>CCNL 22/1/2004 art. 32 c. 2</t>
  </si>
  <si>
    <t>CCNL 9/5/2006 art. 4 c. 1</t>
  </si>
  <si>
    <t>CCNL 11/4/2008 art. 8 c. 2</t>
  </si>
  <si>
    <t>Altri incrementi con carattere di certezza e stabilità</t>
  </si>
  <si>
    <t>CCNL 5/10/2001 art. 4, c. 2 (importo congelato anno 2010)</t>
  </si>
  <si>
    <t>RIA PERSONALE CESSATO ANNO 2014/2015 AL NETTO DELLA RIA 2013</t>
  </si>
  <si>
    <t>CCNL 1/4/1999 art. 15, c. 5 /parte (incremento stabile delle dotazioni organiche)</t>
  </si>
  <si>
    <t>CCNL 22/01/2004 dich. cong. n° 14
CCNL 09/05/2006 dich. cong. n° 4 (recupero PEO)</t>
  </si>
  <si>
    <t>CCNL 1/4/1999 art. 14, c. 4 riduzione straordinari</t>
  </si>
  <si>
    <t>Totale risorse fisse con carattere di certezza e stabilità</t>
  </si>
  <si>
    <t>Totale</t>
  </si>
  <si>
    <t>Riduzione ex art. 9 comma 2 D.L. 78/2010 riportato anno 2015</t>
  </si>
  <si>
    <t>RISORSE STABILI ANNO 2016</t>
  </si>
  <si>
    <t>Risorse variabili</t>
  </si>
  <si>
    <t>Poste variabili soggette al limite</t>
  </si>
  <si>
    <t>Art. 15, comma 1, lett. d) sponsorizzazioni / convenzioni / contribuzioni utenza</t>
  </si>
  <si>
    <t>Art. 15, comma 1, lett. k) specifiche disposizioni di legge:</t>
  </si>
  <si>
    <t xml:space="preserve">Art. 15, comma 2 </t>
  </si>
  <si>
    <t xml:space="preserve">Art. 15, comma 5 nuovi servizi o riorganizzazioni: </t>
  </si>
  <si>
    <t>Art. 54 CCNL 14.9.2000 messi notificatori</t>
  </si>
  <si>
    <t>Art.3 c.57 L. 662/96, art. 59 c.1 L.p) D.LGS. 446/97 (compensi recupero ICI)</t>
  </si>
  <si>
    <t xml:space="preserve">TOTALE RISORSE VARIABILI </t>
  </si>
  <si>
    <t>Poste variabili NON soggette al limite</t>
  </si>
  <si>
    <t>Art. 15, comma 1, lett. k)     COMPENSI PER INDAGINI STATISTICHE</t>
  </si>
  <si>
    <t>Art. 15, comma 1, lett. k) Incentivi progettazione (ex L.R. 109/94)</t>
  </si>
  <si>
    <t>Art. 15, comma 1, lett. m) risparmi straordinario</t>
  </si>
  <si>
    <t xml:space="preserve"> Somme non utilizzate l’anno precedente</t>
  </si>
  <si>
    <t>Somme derivanti da economie performance 2015</t>
  </si>
  <si>
    <t>Totale risorse variabili NON soggette al limite</t>
  </si>
  <si>
    <t>TOTALE RISORSE 2016</t>
  </si>
  <si>
    <t>CITTA' DI VITTORIA</t>
  </si>
  <si>
    <t>SERVIZIO GESTIONE ECONOMICA E CONTABILE DEL PERSONALE</t>
  </si>
  <si>
    <t xml:space="preserve">  FONDO ANNO 2016 –impegni sul bilancio 2016- RISORSE STABILI - €. 1.088.629,15 + ECONOMIE €. 27.021,08 = 1.115.650,23</t>
  </si>
  <si>
    <t>FONDI</t>
  </si>
  <si>
    <t>EMOLUMENTI</t>
  </si>
  <si>
    <t>CAPITOLO</t>
  </si>
  <si>
    <t>ONERI RIFLESSI</t>
  </si>
  <si>
    <t>IRAP</t>
  </si>
  <si>
    <t>INDENNITA' DI COMPARTO</t>
  </si>
  <si>
    <t>vari capitoli per missioni e programmi</t>
  </si>
  <si>
    <t xml:space="preserve">somma inserita negli allegati al bilancio spesa del personale nelle missioni e programmi di competenza </t>
  </si>
  <si>
    <t xml:space="preserve">FINANZIAMENTO INDENNITA' ART.32 COMMA 9 CCNL 22/01/2004(CAT. A e B comma 1 €. 64,56 annue pro - capite) </t>
  </si>
  <si>
    <t>ART.6 COMMA 1 (CCNL 5/10/01) - Assistenti e ins. Asilo nido</t>
  </si>
  <si>
    <t>lett. b) PROGRESSIONE ECONOMICA ORIZZONTALE</t>
  </si>
  <si>
    <t>economia di €. 10.000,00 euro da trovare nei capitoli di bilancio</t>
  </si>
  <si>
    <t xml:space="preserve"> INDENNITA' DI €. 774,69 PER LA CATEGORIA D3</t>
  </si>
  <si>
    <t>P.O. E INDENNITA' DI RISULTATO</t>
  </si>
  <si>
    <t>vedi allegato B1</t>
  </si>
  <si>
    <t>SOMME GIA' IMPEGNATE  PER P.O. ESCLUSO RETRIBUZIONE DI RISULTATO</t>
  </si>
  <si>
    <t>INDENNITA' TURNO ECC.</t>
  </si>
  <si>
    <t>vedi allegato A1</t>
  </si>
  <si>
    <t>SOMME GIA' IMPEGNATE CON DEL G.C. 564/2015 E DEL. G.C. 342/2016 e G.C. 540/2016</t>
  </si>
  <si>
    <t>ART.31 C.7 CCNL 14/9/00 (ASILO NIDO)</t>
  </si>
  <si>
    <t>6120/40 imp. 2271</t>
  </si>
  <si>
    <t>6110  imp. 2272</t>
  </si>
  <si>
    <t>6110/20  imp. 2273</t>
  </si>
  <si>
    <t>DA IMPEGNARE</t>
  </si>
  <si>
    <t>INDENNITA' DI CUI ALL'ART. 36 (€.300,00 PER 19 UNITA') ART. 10 CCDI</t>
  </si>
  <si>
    <t>235/80 imp. 2274</t>
  </si>
  <si>
    <t>235/10 imp. 2275</t>
  </si>
  <si>
    <t>235/30 imp. 2276</t>
  </si>
  <si>
    <t>RISCHIO E MANEGGIO VALORI (SOMMA TOTALE NECESSARIA PER IL 2016 €. 18.282,50 DI CUI GIA' IMPEGNATA CON DELIB. 564/2015 E DELIB. 342/2016 €.14.250,00– QUINDI BISOGNA IMPEGNARE LA DIFFERENZA PARI AD €. 4.032,50)</t>
  </si>
  <si>
    <t>235/80 imp. 2277</t>
  </si>
  <si>
    <t>235/10 imp. 2278</t>
  </si>
  <si>
    <t>235/30  imp. 2279</t>
  </si>
  <si>
    <t>5...5 imp. 2280</t>
  </si>
  <si>
    <t>6imp. 2281</t>
  </si>
  <si>
    <t>9 imp. 2282</t>
  </si>
  <si>
    <t>COMPENSARE L'ESERCIZIO DI ATTIVITA' SVOLTE IN CONDIZIONI PARTICOLARMENTE DISAGIATE DA PARTE DEL PERSONALE A-B-C</t>
  </si>
  <si>
    <t>3360/3 imp. 2283</t>
  </si>
  <si>
    <t>3370imp. 2284</t>
  </si>
  <si>
    <t>3370/20 imp. 2285</t>
  </si>
  <si>
    <t>COMPENSARECOMPITI CHE COMPORTANO SPECIFICHE RESPONSABLITA'  DA PARTE DEL PERSONALE B-C</t>
  </si>
  <si>
    <t>235/80 imp. 2286</t>
  </si>
  <si>
    <t>235/10 imp. 2287</t>
  </si>
  <si>
    <t>235/30 imp. 2288</t>
  </si>
  <si>
    <t>IMPEGNI PER LIQUIDARE LA RETRIBUZIONE DI RISULTATO ALLE P.O. ANNO 2016 (PER UN TOTALE DI €. 24.201,60 OLTRE ONERI RIFLESSI ED IRAP</t>
  </si>
  <si>
    <t>200/1 imp. 2289</t>
  </si>
  <si>
    <t>210 imp. 2290</t>
  </si>
  <si>
    <t>210/10 imp. 2291</t>
  </si>
  <si>
    <t>234/40 imp. 2292</t>
  </si>
  <si>
    <t>234/70  imp. 2293</t>
  </si>
  <si>
    <t>234/75  imp. 2294</t>
  </si>
  <si>
    <t>235/80  imp. 2295</t>
  </si>
  <si>
    <t>235/10  imp. 2296</t>
  </si>
  <si>
    <t>235/30  imp. 2297</t>
  </si>
  <si>
    <t>605/70  imp. 2298</t>
  </si>
  <si>
    <t>605/10  imp. 2299</t>
  </si>
  <si>
    <t>605/30  imp. 2300</t>
  </si>
  <si>
    <t>760 imp. 2301</t>
  </si>
  <si>
    <t>740  imp. 2302</t>
  </si>
  <si>
    <t>740/20  imp. 2303</t>
  </si>
  <si>
    <t>1410/20  imp. 2304</t>
  </si>
  <si>
    <t>1410  imp. 2305</t>
  </si>
  <si>
    <t>1410/30  imp. 2306</t>
  </si>
  <si>
    <t>2130  imp. 2307</t>
  </si>
  <si>
    <t>2110  imp. 2308</t>
  </si>
  <si>
    <t>2110/20  imp. 2309</t>
  </si>
  <si>
    <t>3730  imp. 2310</t>
  </si>
  <si>
    <t>3710  imp. 2311</t>
  </si>
  <si>
    <t>3740 imp. 2312</t>
  </si>
  <si>
    <t>4160/10 imp. 2313</t>
  </si>
  <si>
    <t>4160  imp. 2314</t>
  </si>
  <si>
    <t>4160/30  imp. 2315</t>
  </si>
  <si>
    <t>7030/40 imp. 2316</t>
  </si>
  <si>
    <t>7030/10  imp. 2317</t>
  </si>
  <si>
    <t>7030/20  imp. 2318</t>
  </si>
  <si>
    <t>8320/50  imp. 2319</t>
  </si>
  <si>
    <t>8320/10  imp. 2320</t>
  </si>
  <si>
    <t>8320/20  imp. 2321</t>
  </si>
  <si>
    <t>RESIDUO PER TURNAZIONE E REPERIBILITA' IN PROPORZIONE A QUANTO DISTRIBUITO FINO AD OGGI (TOTALE €. 21382,07)</t>
  </si>
  <si>
    <t>200/1  imp. 2322</t>
  </si>
  <si>
    <t>210  imp. 2323</t>
  </si>
  <si>
    <t>210/10  imp. 2324</t>
  </si>
  <si>
    <t>760  imp. 2325</t>
  </si>
  <si>
    <t>740  imp. 2326</t>
  </si>
  <si>
    <t>740/20  imp. 2327</t>
  </si>
  <si>
    <t>930  imp. 2328</t>
  </si>
  <si>
    <t>910  imp. 2329</t>
  </si>
  <si>
    <t>910/10 imp. 2330</t>
  </si>
  <si>
    <t>2130  imp. 2331</t>
  </si>
  <si>
    <t>2110  imp. 2332</t>
  </si>
  <si>
    <t>2110/20  imp. 2333</t>
  </si>
  <si>
    <t>3730  imp. 2334</t>
  </si>
  <si>
    <t>3710  imp. 2335</t>
  </si>
  <si>
    <t>3740  imp. 2336</t>
  </si>
  <si>
    <t>5150/20</t>
  </si>
  <si>
    <t>5150/10</t>
  </si>
  <si>
    <t>6330/40</t>
  </si>
  <si>
    <t>6320/20</t>
  </si>
  <si>
    <t>8310/30  imp. 2337</t>
  </si>
  <si>
    <t>8310  imp. 2338</t>
  </si>
  <si>
    <t>8310/20  imp. 2339</t>
  </si>
  <si>
    <t>necroscopico</t>
  </si>
  <si>
    <t>8310/30  imp. 2340</t>
  </si>
  <si>
    <t>8310  imp. 2341</t>
  </si>
  <si>
    <t>8310/20  imp. 2342</t>
  </si>
  <si>
    <t>villa</t>
  </si>
  <si>
    <t>8310/30  imp. 2343</t>
  </si>
  <si>
    <t>8310  imp. 2344</t>
  </si>
  <si>
    <t>8310/20  imp. 2345</t>
  </si>
  <si>
    <t>sv. economico</t>
  </si>
  <si>
    <t>8320/50  imp. 2346</t>
  </si>
  <si>
    <t>8320/10  imp. 2347</t>
  </si>
  <si>
    <t>8320/20,  imp. 2348</t>
  </si>
  <si>
    <t xml:space="preserve">  FONDO ANNO 2016 –impegni sul bilancio 2016- RISORSE VARIABILI  = 251.221,89</t>
  </si>
  <si>
    <t>ART. 15 C.1 LETT.K)</t>
  </si>
  <si>
    <t>INCENTIVI ALLA PROGETTAZIONE</t>
  </si>
  <si>
    <t>760  imp. 2349</t>
  </si>
  <si>
    <t>740  imp. 2350</t>
  </si>
  <si>
    <t>740/20  imp. 2351</t>
  </si>
  <si>
    <t>13000/80</t>
  </si>
  <si>
    <t xml:space="preserve">impegnati </t>
  </si>
  <si>
    <t>INDAGINI STATISTICHE</t>
  </si>
  <si>
    <t>918  imp. 2352</t>
  </si>
  <si>
    <t>915/10  imp. 2353</t>
  </si>
  <si>
    <t>915/20  imp. 2354</t>
  </si>
  <si>
    <t>ART.3 C.57 L662/96 ART. 59 C.1 D.LGS. 446/97 RECUPERO ICI</t>
  </si>
  <si>
    <t>1410/20  imp. 2355</t>
  </si>
  <si>
    <t>1410  imp. 2356</t>
  </si>
  <si>
    <t>1410/30  imp. 2357</t>
  </si>
  <si>
    <t>ART. 54 CCNL 14/9/2000: MESSI NOTIFICATORI</t>
  </si>
  <si>
    <t>234/40 imp. 2358</t>
  </si>
  <si>
    <t>234/70b  imp. 2359</t>
  </si>
  <si>
    <t>234/75 imp. 2360</t>
  </si>
  <si>
    <t>235/80  imp. 2361</t>
  </si>
  <si>
    <t>235/10  imp. 2362</t>
  </si>
  <si>
    <t>235/30  imp. 2363</t>
  </si>
  <si>
    <t>ART. 15 C. 5 – NUOVI SERVIZI MIGLIORAMENTI SERVIZI ESISTENTI FINANZIATI CON CDS</t>
  </si>
  <si>
    <t>2100/40  imp. 2364</t>
  </si>
  <si>
    <t>2100/50  imp. 2365</t>
  </si>
  <si>
    <t>2100/60  imp. 2366</t>
  </si>
  <si>
    <t xml:space="preserve">ART. 15 C. 5 – NUOVI SERVIZI MIGLIORAMENTI SERVIZI ESISTENTI </t>
  </si>
  <si>
    <t>2130  imp. 2367</t>
  </si>
  <si>
    <t>2110  imp. 2368</t>
  </si>
  <si>
    <t>2110/20  imp. 2369</t>
  </si>
  <si>
    <t>2130 imp. 2370</t>
  </si>
  <si>
    <t>2110 imp. 2371</t>
  </si>
  <si>
    <t>2110/20 imp. 2372</t>
  </si>
  <si>
    <t>235/80 imp. 2373</t>
  </si>
  <si>
    <t>235/10 imp. 2374</t>
  </si>
  <si>
    <t>235/30 imp. 2375</t>
  </si>
  <si>
    <t>760 imp. 2376</t>
  </si>
  <si>
    <t>740 imp. 2377</t>
  </si>
  <si>
    <t>740/20 imp. 2378</t>
  </si>
  <si>
    <t>3730 imp. 2379</t>
  </si>
  <si>
    <t>3710 imp. 2380</t>
  </si>
  <si>
    <t>3740  imp. 2381</t>
  </si>
  <si>
    <t>7030/40  imp. 2382</t>
  </si>
  <si>
    <t>7030/10  imp. 2383</t>
  </si>
  <si>
    <t>7030/20  imp. 2384</t>
  </si>
  <si>
    <t>200/1  imp. 2385</t>
  </si>
  <si>
    <t>210  imp. 2386</t>
  </si>
  <si>
    <t>210/10  imp. 2387</t>
  </si>
  <si>
    <t>930  imp. 2388</t>
  </si>
  <si>
    <t>910  imp. 2389</t>
  </si>
  <si>
    <t>910/10</t>
  </si>
  <si>
    <t>1410/20  imp. 2391</t>
  </si>
  <si>
    <t>1410  imp. 2392</t>
  </si>
  <si>
    <t>1410/30  imp. 2393</t>
  </si>
  <si>
    <t>3360/3  imp. 2394</t>
  </si>
  <si>
    <t>3370  imp. 2395</t>
  </si>
  <si>
    <t>3370/20  imp. 2396</t>
  </si>
  <si>
    <t>4160/10 imp. 2397</t>
  </si>
  <si>
    <t>4160  imp.2398</t>
  </si>
  <si>
    <t>4160/30  imp. 2399</t>
  </si>
  <si>
    <t>6120/40  imp. 2400</t>
  </si>
  <si>
    <t>6110  imp. 2401</t>
  </si>
  <si>
    <t>6110/20  imp. 2402</t>
  </si>
  <si>
    <t>235/80  imp. 2403</t>
  </si>
  <si>
    <t xml:space="preserve"> 235/10  imp. 2404</t>
  </si>
  <si>
    <t>235/30  imp. 2405</t>
  </si>
  <si>
    <t xml:space="preserve">   </t>
  </si>
  <si>
    <t>ALLEGATO A1 – ELENCO IMPEGNI PER TURNAZIONE REP. RISCHIO MANEGGIO VALORI DETERMINA DEL DIRIGENTE N. 564 DEL 22/12/2015 E DELIBERE G.C. N. 342/2016 E G.C. 540 DEL 1/12/2016</t>
  </si>
  <si>
    <t>emolumenti</t>
  </si>
  <si>
    <t>200/1</t>
  </si>
  <si>
    <t>210/10</t>
  </si>
  <si>
    <t>RISCHIO</t>
  </si>
  <si>
    <t>TURN. PORTIERATO</t>
  </si>
  <si>
    <t>235/80</t>
  </si>
  <si>
    <t>235/10</t>
  </si>
  <si>
    <t>235/30</t>
  </si>
  <si>
    <t>RISCHIO MANEGGIO VALORI</t>
  </si>
  <si>
    <t>605/70</t>
  </si>
  <si>
    <t>605/10</t>
  </si>
  <si>
    <t>605/30</t>
  </si>
  <si>
    <t>MANEGGIO VALORI</t>
  </si>
  <si>
    <t>740/20</t>
  </si>
  <si>
    <t>TURN. REP. MANUTENZIONI</t>
  </si>
  <si>
    <t>RISCHIO SERVIZI TECNICI</t>
  </si>
  <si>
    <t>TURN. REP. DEMOGRAFICI</t>
  </si>
  <si>
    <t>MANEGGIO VALORI DEMOGR.</t>
  </si>
  <si>
    <t>2110/20</t>
  </si>
  <si>
    <t>TURN. REP. POLIZIA MUNIC.</t>
  </si>
  <si>
    <t>RISCHIO P.M.</t>
  </si>
  <si>
    <t>3360/3</t>
  </si>
  <si>
    <t>3370/20</t>
  </si>
  <si>
    <t>RISCHIO SERVIZI AUSILIARI ISTRUZIONE</t>
  </si>
  <si>
    <t>TURN. REP. SERVIZI CULTURALI</t>
  </si>
  <si>
    <t>4160/10</t>
  </si>
  <si>
    <t>4160/30</t>
  </si>
  <si>
    <t>RISCHIO URBANISTICA</t>
  </si>
  <si>
    <t>TURN. SERVIZIO NECROSCOPICO</t>
  </si>
  <si>
    <t>8310/30</t>
  </si>
  <si>
    <t>8310/20</t>
  </si>
  <si>
    <t>TURNAZ. SERV. VILLA</t>
  </si>
  <si>
    <t>TURN. REP. SVILUPPO EC.</t>
  </si>
  <si>
    <t>8320/50</t>
  </si>
  <si>
    <t>8320/10</t>
  </si>
  <si>
    <t>8330/20,</t>
  </si>
  <si>
    <t>TURN. REP. MERCATI</t>
  </si>
  <si>
    <t xml:space="preserve"> ELENCO  POSIZIONI ORGANIZZATIVE anno 2016 </t>
  </si>
  <si>
    <t>ALLEGATO “B1”</t>
  </si>
  <si>
    <t>NUMERO</t>
  </si>
  <si>
    <t>DIREZIONE</t>
  </si>
  <si>
    <t>DENOMINAZIONE P.O.</t>
  </si>
  <si>
    <t>VALORE ECONOMICO ANNUO</t>
  </si>
  <si>
    <t>Somme impegnate</t>
  </si>
  <si>
    <t>capitolo</t>
  </si>
  <si>
    <t>da impegnare per risultato</t>
  </si>
  <si>
    <t>PIANIFICAZIONE -  GESTIONE TERRITORIALE – ECOLOGIA E TUTELA AMBIENTALE</t>
  </si>
  <si>
    <t>UFFICIO DEL PIANO</t>
  </si>
  <si>
    <t>MANUTENZIONI SERVIZI TECNICI E CIMITERIALI</t>
  </si>
  <si>
    <t>PUBBLICA ILLUMINAZIONE</t>
  </si>
  <si>
    <t>760</t>
  </si>
  <si>
    <t>ACQUEDOTTO - POZZI - ECOLOGIA E FOGNATURA - IMPIANTI TECNOLOGICI</t>
  </si>
  <si>
    <t>POLIZIA MUNICIPALE</t>
  </si>
  <si>
    <t>SERVIZIO GESTIONE MERCATI</t>
  </si>
  <si>
    <t>SERVIZIO TECNICO AMM. FORNITURE E TRAFFICO</t>
  </si>
  <si>
    <t>2130</t>
  </si>
  <si>
    <t>POLITICHE CULTURALI, TEMPO LIBERO E SPORT</t>
  </si>
  <si>
    <t>SERVIZIO ATTIVITA' CULTURALI</t>
  </si>
  <si>
    <t>3730</t>
  </si>
  <si>
    <t>POLITICHE SOCIO ASSISTENZIALI E PARI OPPORTUNITA'</t>
  </si>
  <si>
    <t>SERV. SOCIO ASSISTENZIALI</t>
  </si>
  <si>
    <t>7030/40</t>
  </si>
  <si>
    <t>DIREZIONE SISTEMA INTEGRATO DEI CONTROLLI, RISORSE UMANE, COMUNICAZIONE E SISTEMI INFORMATICI</t>
  </si>
  <si>
    <t>SERVIZIO CONTROLLI, ANTICORRUZIONE TRASPARENZA.</t>
  </si>
  <si>
    <t>POLITICHE FINANZIARIE BILANCIO ECONOMATO</t>
  </si>
  <si>
    <t>SERVIZIO BILANCIO E PROGRAMMAZIONE</t>
  </si>
  <si>
    <t>SERVIZIO CONSUNTIVO E RISULTATI DI GESTIONE</t>
  </si>
  <si>
    <t>TRIBUTI E SERVIZI FISCALI</t>
  </si>
  <si>
    <t>SERVIZIO TRIBUTI</t>
  </si>
  <si>
    <t>1410/20</t>
  </si>
  <si>
    <t>AVVOCATURA</t>
  </si>
  <si>
    <t>PATROCINIO LEGALE</t>
  </si>
  <si>
    <t>234/40</t>
  </si>
  <si>
    <t>AFFARI GENERALI, DECENTRAMENTO E GABINETTO DEL SINDACO</t>
  </si>
  <si>
    <t>SUPPORTO AL DIRIGENTE</t>
  </si>
  <si>
    <t>STAFF GABINETTO DEL SINDACO</t>
  </si>
  <si>
    <t>Risultato</t>
  </si>
  <si>
    <t>TOTALE NECESSARIO PER P.O.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</si>
</sst>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&quot;€ &quot;* #,##0.00_-;&quot;-€ &quot;* #,##0.00_-;_-&quot;€ &quot;* \-??_-;_-@_-"/>
    <numFmt numFmtId="165" formatCode="_-* #,##0.00_-;\-* #,##0.00_-;_-* \-??_-;_-@_-"/>
    <numFmt numFmtId="166" formatCode="#,##0_ ;\-#,##0\ "/>
    <numFmt numFmtId="167" formatCode="0_ ;\-0\ "/>
    <numFmt numFmtId="168" formatCode="_-* #,##0_-;\-* #,##0_-;_-* \-??_-;_-@_-"/>
    <numFmt numFmtId="169" formatCode="#,##0\ ;\-#,##0\ ;&quot; -&quot;#\ ;@\ "/>
    <numFmt numFmtId="170" formatCode="#,###"/>
    <numFmt numFmtId="171" formatCode="0.00%_-;\-* #,##0_-;_-* \-??_-;_-@_-"/>
    <numFmt numFmtId="172" formatCode="[$€-410]\ #,##0.00;[Red]\-[$€-410]\ #,##0.00"/>
    <numFmt numFmtId="173" formatCode="_-[$€-2]\ * #,##0.00_-;\-[$€-2]\ * #,##0.00_-;_-[$€-2]\ * \-??_-"/>
    <numFmt numFmtId="174" formatCode="_-[$€-2]\ * #,##0.00_-;\-[$€-2]\ * #,##0.00_-;_-[$€-2]\ * \-??_-;_-@_-"/>
    <numFmt numFmtId="175" formatCode="dd/mm/yy"/>
    <numFmt numFmtId="176" formatCode="0.000000%"/>
  </numFmts>
  <fonts count="37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  <charset val="1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  <font>
      <b/>
      <u/>
      <sz val="14"/>
      <name val="Arial"/>
      <family val="2"/>
    </font>
    <font>
      <b/>
      <sz val="10"/>
      <name val="Calibri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62"/>
        <bgColor indexed="5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165" fontId="36" fillId="0" borderId="0" applyFill="0" applyBorder="0" applyAlignment="0" applyProtection="0"/>
    <xf numFmtId="9" fontId="36" fillId="0" borderId="0" applyFill="0" applyBorder="0" applyAlignment="0" applyProtection="0"/>
    <xf numFmtId="164" fontId="1" fillId="0" borderId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166" fontId="0" fillId="0" borderId="0" xfId="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167" fontId="4" fillId="2" borderId="2" xfId="1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166" fontId="6" fillId="0" borderId="3" xfId="1" applyNumberFormat="1" applyFont="1" applyFill="1" applyBorder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horizontal="left" vertical="center" indent="1"/>
    </xf>
    <xf numFmtId="168" fontId="6" fillId="0" borderId="2" xfId="1" applyNumberFormat="1" applyFont="1" applyFill="1" applyBorder="1" applyAlignment="1" applyProtection="1">
      <alignment vertical="center"/>
      <protection locked="0"/>
    </xf>
    <xf numFmtId="169" fontId="6" fillId="0" borderId="2" xfId="1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Alignment="1">
      <alignment vertical="center"/>
    </xf>
    <xf numFmtId="168" fontId="1" fillId="3" borderId="2" xfId="1" applyNumberFormat="1" applyFont="1" applyFill="1" applyBorder="1" applyAlignment="1" applyProtection="1">
      <alignment vertical="center"/>
      <protection locked="0"/>
    </xf>
    <xf numFmtId="168" fontId="6" fillId="0" borderId="4" xfId="1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horizontal="right" vertical="center" indent="1"/>
    </xf>
    <xf numFmtId="166" fontId="6" fillId="4" borderId="4" xfId="1" applyNumberFormat="1" applyFont="1" applyFill="1" applyBorder="1" applyAlignment="1" applyProtection="1">
      <alignment vertical="center"/>
      <protection locked="0"/>
    </xf>
    <xf numFmtId="49" fontId="9" fillId="0" borderId="4" xfId="0" applyNumberFormat="1" applyFont="1" applyFill="1" applyBorder="1" applyAlignment="1" applyProtection="1">
      <alignment horizontal="right" vertical="center" indent="1"/>
    </xf>
    <xf numFmtId="0" fontId="10" fillId="0" borderId="0" xfId="0" applyFont="1" applyAlignment="1">
      <alignment vertical="center"/>
    </xf>
    <xf numFmtId="0" fontId="11" fillId="5" borderId="2" xfId="0" applyFont="1" applyFill="1" applyBorder="1" applyAlignment="1" applyProtection="1">
      <alignment horizontal="right" vertical="center" indent="1"/>
    </xf>
    <xf numFmtId="165" fontId="12" fillId="5" borderId="2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166" fontId="13" fillId="0" borderId="3" xfId="1" applyNumberFormat="1" applyFont="1" applyFill="1" applyBorder="1" applyAlignment="1" applyProtection="1">
      <alignment horizontal="left" vertical="center"/>
    </xf>
    <xf numFmtId="168" fontId="6" fillId="3" borderId="2" xfId="1" applyNumberFormat="1" applyFont="1" applyFill="1" applyBorder="1" applyAlignment="1" applyProtection="1">
      <alignment vertical="center"/>
      <protection locked="0"/>
    </xf>
    <xf numFmtId="168" fontId="14" fillId="3" borderId="2" xfId="1" applyNumberFormat="1" applyFont="1" applyFill="1" applyBorder="1" applyAlignment="1" applyProtection="1">
      <alignment vertical="center"/>
      <protection locked="0"/>
    </xf>
    <xf numFmtId="168" fontId="14" fillId="0" borderId="2" xfId="1" applyNumberFormat="1" applyFont="1" applyFill="1" applyBorder="1" applyAlignment="1" applyProtection="1">
      <alignment vertical="center"/>
      <protection locked="0"/>
    </xf>
    <xf numFmtId="0" fontId="13" fillId="6" borderId="2" xfId="0" applyFont="1" applyFill="1" applyBorder="1" applyAlignment="1" applyProtection="1">
      <alignment horizontal="right" vertical="center" indent="1"/>
    </xf>
    <xf numFmtId="168" fontId="12" fillId="6" borderId="4" xfId="1" applyNumberFormat="1" applyFont="1" applyFill="1" applyBorder="1" applyAlignment="1" applyProtection="1">
      <alignment vertical="center"/>
    </xf>
    <xf numFmtId="0" fontId="13" fillId="6" borderId="4" xfId="0" applyFont="1" applyFill="1" applyBorder="1" applyAlignment="1" applyProtection="1">
      <alignment horizontal="right" vertical="center" indent="1"/>
    </xf>
    <xf numFmtId="168" fontId="12" fillId="5" borderId="4" xfId="1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right" vertical="center" indent="1"/>
    </xf>
    <xf numFmtId="168" fontId="4" fillId="0" borderId="2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wrapText="1" indent="1"/>
    </xf>
    <xf numFmtId="168" fontId="4" fillId="5" borderId="2" xfId="1" applyNumberFormat="1" applyFont="1" applyFill="1" applyBorder="1" applyAlignment="1" applyProtection="1">
      <alignment horizontal="right" vertical="center"/>
    </xf>
    <xf numFmtId="0" fontId="4" fillId="7" borderId="0" xfId="0" applyFont="1" applyFill="1" applyBorder="1" applyAlignment="1" applyProtection="1">
      <alignment horizontal="right" vertical="center"/>
    </xf>
    <xf numFmtId="168" fontId="4" fillId="7" borderId="2" xfId="1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indent="2"/>
    </xf>
    <xf numFmtId="166" fontId="18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indent="2"/>
    </xf>
    <xf numFmtId="166" fontId="0" fillId="0" borderId="0" xfId="1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 indent="2"/>
    </xf>
    <xf numFmtId="168" fontId="20" fillId="7" borderId="2" xfId="1" applyNumberFormat="1" applyFont="1" applyFill="1" applyBorder="1" applyAlignment="1" applyProtection="1">
      <alignment vertical="center"/>
      <protection locked="0"/>
    </xf>
    <xf numFmtId="168" fontId="20" fillId="7" borderId="6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 indent="2"/>
    </xf>
    <xf numFmtId="165" fontId="11" fillId="0" borderId="7" xfId="1" applyNumberFormat="1" applyFont="1" applyFill="1" applyBorder="1" applyAlignment="1" applyProtection="1">
      <alignment horizontal="right" vertical="center"/>
    </xf>
    <xf numFmtId="166" fontId="6" fillId="7" borderId="2" xfId="1" applyNumberFormat="1" applyFont="1" applyFill="1" applyBorder="1" applyAlignment="1" applyProtection="1">
      <alignment vertical="center"/>
    </xf>
    <xf numFmtId="171" fontId="12" fillId="3" borderId="2" xfId="2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right" vertical="center" indent="1"/>
    </xf>
    <xf numFmtId="168" fontId="22" fillId="3" borderId="2" xfId="1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166" fontId="4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 indent="1"/>
    </xf>
    <xf numFmtId="168" fontId="4" fillId="3" borderId="2" xfId="1" applyNumberFormat="1" applyFont="1" applyFill="1" applyBorder="1" applyAlignment="1" applyProtection="1">
      <alignment vertical="center"/>
    </xf>
    <xf numFmtId="168" fontId="23" fillId="0" borderId="4" xfId="1" applyNumberFormat="1" applyFont="1" applyFill="1" applyBorder="1" applyAlignment="1" applyProtection="1">
      <alignment horizontal="right" vertical="center"/>
    </xf>
    <xf numFmtId="168" fontId="23" fillId="0" borderId="2" xfId="1" applyNumberFormat="1" applyFont="1" applyFill="1" applyBorder="1" applyAlignment="1" applyProtection="1">
      <alignment horizontal="right"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2" xfId="0" applyFont="1" applyBorder="1" applyAlignment="1">
      <alignment horizontal="center" wrapText="1"/>
    </xf>
    <xf numFmtId="0" fontId="25" fillId="0" borderId="8" xfId="0" applyFont="1" applyBorder="1" applyAlignment="1">
      <alignment wrapText="1"/>
    </xf>
    <xf numFmtId="0" fontId="24" fillId="0" borderId="9" xfId="0" applyFont="1" applyBorder="1" applyAlignment="1">
      <alignment wrapText="1"/>
    </xf>
    <xf numFmtId="172" fontId="24" fillId="0" borderId="2" xfId="0" applyNumberFormat="1" applyFont="1" applyBorder="1" applyAlignment="1">
      <alignment horizontal="left" wrapText="1"/>
    </xf>
    <xf numFmtId="172" fontId="24" fillId="0" borderId="2" xfId="0" applyNumberFormat="1" applyFont="1" applyBorder="1" applyAlignment="1">
      <alignment horizontal="left"/>
    </xf>
    <xf numFmtId="0" fontId="25" fillId="0" borderId="9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2" xfId="0" applyFont="1" applyBorder="1" applyAlignment="1">
      <alignment wrapText="1"/>
    </xf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/>
    <xf numFmtId="0" fontId="25" fillId="0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Border="1"/>
    <xf numFmtId="164" fontId="1" fillId="0" borderId="2" xfId="3" applyFont="1" applyFill="1" applyBorder="1" applyAlignment="1" applyProtection="1"/>
    <xf numFmtId="173" fontId="1" fillId="0" borderId="2" xfId="0" applyNumberFormat="1" applyFont="1" applyBorder="1"/>
    <xf numFmtId="0" fontId="1" fillId="0" borderId="2" xfId="0" applyFont="1" applyFill="1" applyBorder="1" applyAlignment="1">
      <alignment horizontal="center" vertical="center" wrapText="1"/>
    </xf>
    <xf numFmtId="164" fontId="1" fillId="0" borderId="2" xfId="3" applyFont="1" applyFill="1" applyBorder="1" applyAlignment="1" applyProtection="1">
      <alignment horizontal="center" vertical="center" wrapText="1"/>
    </xf>
    <xf numFmtId="174" fontId="1" fillId="0" borderId="2" xfId="0" applyNumberFormat="1" applyFont="1" applyFill="1" applyBorder="1"/>
    <xf numFmtId="173" fontId="1" fillId="0" borderId="2" xfId="0" applyNumberFormat="1" applyFont="1" applyFill="1" applyBorder="1"/>
    <xf numFmtId="0" fontId="24" fillId="0" borderId="2" xfId="0" applyFont="1" applyFill="1" applyBorder="1" applyAlignment="1">
      <alignment wrapText="1"/>
    </xf>
    <xf numFmtId="172" fontId="1" fillId="0" borderId="2" xfId="0" applyNumberFormat="1" applyFont="1" applyFill="1" applyBorder="1"/>
    <xf numFmtId="172" fontId="12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right"/>
    </xf>
    <xf numFmtId="0" fontId="1" fillId="0" borderId="2" xfId="3" applyNumberFormat="1" applyFont="1" applyFill="1" applyBorder="1" applyAlignment="1" applyProtection="1">
      <alignment horizontal="center" vertical="center" wrapText="1"/>
    </xf>
    <xf numFmtId="174" fontId="1" fillId="0" borderId="2" xfId="0" applyNumberFormat="1" applyFont="1" applyBorder="1"/>
    <xf numFmtId="164" fontId="6" fillId="0" borderId="3" xfId="0" applyNumberFormat="1" applyFont="1" applyBorder="1" applyAlignment="1">
      <alignment horizontal="center"/>
    </xf>
    <xf numFmtId="175" fontId="1" fillId="0" borderId="2" xfId="3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164" fontId="31" fillId="0" borderId="3" xfId="0" applyNumberFormat="1" applyFont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0" fontId="6" fillId="0" borderId="2" xfId="0" applyFont="1" applyBorder="1"/>
    <xf numFmtId="164" fontId="6" fillId="0" borderId="13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164" fontId="6" fillId="0" borderId="1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172" fontId="6" fillId="0" borderId="15" xfId="0" applyNumberFormat="1" applyFont="1" applyFill="1" applyBorder="1" applyAlignment="1">
      <alignment horizontal="center"/>
    </xf>
    <xf numFmtId="172" fontId="6" fillId="0" borderId="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1" fillId="0" borderId="16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1" fillId="0" borderId="17" xfId="0" applyFont="1" applyBorder="1" applyAlignment="1">
      <alignment horizontal="center" vertical="center" wrapText="1"/>
    </xf>
    <xf numFmtId="172" fontId="31" fillId="0" borderId="2" xfId="0" applyNumberFormat="1" applyFont="1" applyFill="1" applyBorder="1" applyAlignment="1">
      <alignment horizontal="center"/>
    </xf>
    <xf numFmtId="172" fontId="1" fillId="0" borderId="0" xfId="0" applyNumberFormat="1" applyFont="1"/>
    <xf numFmtId="49" fontId="1" fillId="0" borderId="2" xfId="3" applyNumberFormat="1" applyFont="1" applyFill="1" applyBorder="1" applyAlignment="1" applyProtection="1">
      <alignment horizontal="center" vertical="center" wrapText="1"/>
    </xf>
    <xf numFmtId="164" fontId="25" fillId="0" borderId="2" xfId="3" applyFont="1" applyFill="1" applyBorder="1" applyAlignment="1" applyProtection="1"/>
    <xf numFmtId="164" fontId="6" fillId="0" borderId="3" xfId="0" applyNumberFormat="1" applyFont="1" applyFill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164" fontId="28" fillId="0" borderId="3" xfId="0" applyNumberFormat="1" applyFont="1" applyBorder="1" applyAlignment="1">
      <alignment horizontal="center"/>
    </xf>
    <xf numFmtId="49" fontId="24" fillId="0" borderId="2" xfId="3" applyNumberFormat="1" applyFont="1" applyFill="1" applyBorder="1" applyAlignment="1" applyProtection="1">
      <alignment horizontal="center" vertical="center" wrapText="1"/>
    </xf>
    <xf numFmtId="174" fontId="24" fillId="0" borderId="2" xfId="0" applyNumberFormat="1" applyFont="1" applyBorder="1"/>
    <xf numFmtId="0" fontId="24" fillId="0" borderId="2" xfId="0" applyNumberFormat="1" applyFont="1" applyBorder="1" applyAlignment="1">
      <alignment horizontal="left"/>
    </xf>
    <xf numFmtId="174" fontId="24" fillId="0" borderId="2" xfId="0" applyNumberFormat="1" applyFont="1" applyBorder="1" applyAlignment="1">
      <alignment wrapText="1"/>
    </xf>
    <xf numFmtId="164" fontId="1" fillId="0" borderId="17" xfId="3" applyFont="1" applyFill="1" applyBorder="1" applyAlignment="1" applyProtection="1"/>
    <xf numFmtId="164" fontId="1" fillId="0" borderId="17" xfId="3" applyFont="1" applyFill="1" applyBorder="1" applyAlignment="1" applyProtection="1">
      <alignment wrapText="1"/>
    </xf>
    <xf numFmtId="0" fontId="1" fillId="0" borderId="17" xfId="0" applyFont="1" applyBorder="1"/>
    <xf numFmtId="0" fontId="28" fillId="0" borderId="0" xfId="0" applyFont="1"/>
    <xf numFmtId="0" fontId="32" fillId="0" borderId="0" xfId="0" applyFont="1" applyBorder="1"/>
    <xf numFmtId="0" fontId="32" fillId="0" borderId="0" xfId="0" applyFont="1"/>
    <xf numFmtId="0" fontId="33" fillId="8" borderId="16" xfId="0" applyFont="1" applyFill="1" applyBorder="1" applyAlignment="1">
      <alignment horizontal="center" vertical="center"/>
    </xf>
    <xf numFmtId="0" fontId="32" fillId="0" borderId="2" xfId="0" applyFont="1" applyBorder="1"/>
    <xf numFmtId="164" fontId="28" fillId="0" borderId="2" xfId="0" applyNumberFormat="1" applyFont="1" applyFill="1" applyBorder="1" applyAlignment="1">
      <alignment horizontal="center"/>
    </xf>
    <xf numFmtId="172" fontId="28" fillId="0" borderId="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172" fontId="28" fillId="0" borderId="11" xfId="0" applyNumberFormat="1" applyFont="1" applyFill="1" applyBorder="1" applyAlignment="1">
      <alignment horizontal="center"/>
    </xf>
    <xf numFmtId="0" fontId="6" fillId="0" borderId="3" xfId="0" applyFont="1" applyBorder="1"/>
    <xf numFmtId="0" fontId="31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16" xfId="0" applyFont="1" applyBorder="1"/>
    <xf numFmtId="0" fontId="31" fillId="0" borderId="18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32" fillId="0" borderId="2" xfId="0" applyFont="1" applyFill="1" applyBorder="1"/>
    <xf numFmtId="0" fontId="31" fillId="0" borderId="19" xfId="0" applyFont="1" applyFill="1" applyBorder="1" applyAlignment="1">
      <alignment horizontal="center"/>
    </xf>
    <xf numFmtId="164" fontId="28" fillId="0" borderId="14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2" fillId="0" borderId="16" xfId="0" applyFont="1" applyBorder="1"/>
    <xf numFmtId="172" fontId="28" fillId="0" borderId="18" xfId="0" applyNumberFormat="1" applyFont="1" applyFill="1" applyBorder="1" applyAlignment="1">
      <alignment horizontal="center"/>
    </xf>
    <xf numFmtId="172" fontId="28" fillId="0" borderId="15" xfId="0" applyNumberFormat="1" applyFont="1" applyFill="1" applyBorder="1" applyAlignment="1">
      <alignment horizontal="center"/>
    </xf>
    <xf numFmtId="164" fontId="24" fillId="0" borderId="16" xfId="0" applyNumberFormat="1" applyFont="1" applyFill="1" applyBorder="1" applyAlignment="1">
      <alignment horizontal="center"/>
    </xf>
    <xf numFmtId="0" fontId="32" fillId="0" borderId="2" xfId="0" applyFont="1" applyBorder="1" applyAlignment="1">
      <alignment wrapText="1"/>
    </xf>
    <xf numFmtId="172" fontId="28" fillId="0" borderId="4" xfId="0" applyNumberFormat="1" applyFont="1" applyFill="1" applyBorder="1" applyAlignment="1">
      <alignment horizontal="center"/>
    </xf>
    <xf numFmtId="172" fontId="28" fillId="0" borderId="16" xfId="0" applyNumberFormat="1" applyFont="1" applyFill="1" applyBorder="1" applyAlignment="1">
      <alignment horizontal="center"/>
    </xf>
    <xf numFmtId="164" fontId="28" fillId="0" borderId="3" xfId="0" applyNumberFormat="1" applyFont="1" applyFill="1" applyBorder="1" applyAlignment="1">
      <alignment horizontal="center"/>
    </xf>
    <xf numFmtId="164" fontId="34" fillId="0" borderId="2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31" fillId="0" borderId="0" xfId="0" applyNumberFormat="1" applyFont="1" applyAlignment="1">
      <alignment horizontal="center"/>
    </xf>
    <xf numFmtId="14" fontId="35" fillId="0" borderId="0" xfId="0" applyNumberFormat="1" applyFont="1" applyBorder="1" applyAlignment="1">
      <alignment wrapText="1"/>
    </xf>
    <xf numFmtId="0" fontId="35" fillId="0" borderId="0" xfId="0" applyFont="1" applyBorder="1" applyAlignment="1"/>
    <xf numFmtId="0" fontId="25" fillId="0" borderId="2" xfId="0" applyFont="1" applyBorder="1"/>
    <xf numFmtId="0" fontId="25" fillId="0" borderId="16" xfId="0" applyFont="1" applyBorder="1" applyAlignment="1">
      <alignment horizontal="center"/>
    </xf>
    <xf numFmtId="0" fontId="25" fillId="0" borderId="16" xfId="0" applyFont="1" applyBorder="1"/>
    <xf numFmtId="0" fontId="1" fillId="0" borderId="2" xfId="0" applyFont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164" fontId="24" fillId="0" borderId="2" xfId="3" applyFont="1" applyFill="1" applyBorder="1" applyAlignment="1" applyProtection="1"/>
    <xf numFmtId="49" fontId="24" fillId="0" borderId="16" xfId="0" applyNumberFormat="1" applyFont="1" applyBorder="1" applyAlignment="1">
      <alignment wrapText="1"/>
    </xf>
    <xf numFmtId="0" fontId="0" fillId="0" borderId="2" xfId="0" applyBorder="1" applyAlignment="1">
      <alignment horizontal="right" vertical="center"/>
    </xf>
    <xf numFmtId="0" fontId="24" fillId="0" borderId="2" xfId="0" applyFont="1" applyBorder="1"/>
    <xf numFmtId="0" fontId="24" fillId="0" borderId="2" xfId="0" applyFont="1" applyBorder="1" applyAlignment="1">
      <alignment horizontal="center"/>
    </xf>
    <xf numFmtId="49" fontId="24" fillId="0" borderId="16" xfId="0" applyNumberFormat="1" applyFont="1" applyBorder="1"/>
    <xf numFmtId="0" fontId="24" fillId="0" borderId="11" xfId="0" applyFont="1" applyBorder="1"/>
    <xf numFmtId="164" fontId="24" fillId="0" borderId="3" xfId="3" applyFont="1" applyFill="1" applyBorder="1" applyAlignment="1" applyProtection="1"/>
    <xf numFmtId="0" fontId="24" fillId="0" borderId="3" xfId="0" applyFont="1" applyBorder="1" applyAlignment="1">
      <alignment horizontal="center"/>
    </xf>
    <xf numFmtId="174" fontId="24" fillId="0" borderId="16" xfId="0" applyNumberFormat="1" applyFont="1" applyBorder="1"/>
    <xf numFmtId="173" fontId="24" fillId="0" borderId="2" xfId="0" applyNumberFormat="1" applyFont="1" applyBorder="1" applyAlignment="1">
      <alignment horizontal="right"/>
    </xf>
    <xf numFmtId="0" fontId="24" fillId="0" borderId="20" xfId="0" applyFont="1" applyBorder="1"/>
    <xf numFmtId="0" fontId="12" fillId="0" borderId="17" xfId="0" applyFont="1" applyBorder="1"/>
    <xf numFmtId="0" fontId="0" fillId="0" borderId="5" xfId="0" applyBorder="1"/>
    <xf numFmtId="173" fontId="25" fillId="0" borderId="2" xfId="0" applyNumberFormat="1" applyFont="1" applyBorder="1"/>
    <xf numFmtId="172" fontId="24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7" fillId="0" borderId="8" xfId="0" applyFont="1" applyBorder="1" applyAlignment="1">
      <alignment wrapText="1"/>
    </xf>
    <xf numFmtId="0" fontId="25" fillId="0" borderId="8" xfId="0" applyFont="1" applyBorder="1" applyAlignment="1">
      <alignment wrapText="1"/>
    </xf>
    <xf numFmtId="172" fontId="24" fillId="0" borderId="2" xfId="0" applyNumberFormat="1" applyFont="1" applyBorder="1" applyAlignment="1">
      <alignment horizontal="left" wrapText="1"/>
    </xf>
    <xf numFmtId="0" fontId="29" fillId="0" borderId="8" xfId="0" applyFont="1" applyBorder="1" applyAlignment="1">
      <alignment wrapText="1"/>
    </xf>
    <xf numFmtId="172" fontId="25" fillId="0" borderId="2" xfId="0" applyNumberFormat="1" applyFont="1" applyBorder="1" applyAlignment="1">
      <alignment horizontal="left" wrapText="1"/>
    </xf>
    <xf numFmtId="0" fontId="24" fillId="0" borderId="2" xfId="0" applyFont="1" applyBorder="1" applyAlignment="1">
      <alignment horizontal="center" vertical="center" wrapText="1"/>
    </xf>
    <xf numFmtId="172" fontId="25" fillId="0" borderId="2" xfId="0" applyNumberFormat="1" applyFont="1" applyBorder="1" applyAlignment="1">
      <alignment horizontal="left" vertical="center" wrapText="1"/>
    </xf>
    <xf numFmtId="172" fontId="25" fillId="0" borderId="2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72" fontId="24" fillId="0" borderId="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4" fontId="35" fillId="0" borderId="0" xfId="0" applyNumberFormat="1" applyFont="1" applyBorder="1" applyAlignment="1">
      <alignment wrapText="1"/>
    </xf>
    <xf numFmtId="0" fontId="0" fillId="0" borderId="2" xfId="0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24" fillId="0" borderId="2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 vertical="center" wrapText="1"/>
    </xf>
  </cellXfs>
  <cellStyles count="4">
    <cellStyle name="Euro" xfId="3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152400</xdr:rowOff>
    </xdr:from>
    <xdr:to>
      <xdr:col>0</xdr:col>
      <xdr:colOff>847725</xdr:colOff>
      <xdr:row>4</xdr:row>
      <xdr:rowOff>190500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3AD52338-6867-478A-882B-FD2E612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666750" cy="9715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0</xdr:row>
      <xdr:rowOff>152400</xdr:rowOff>
    </xdr:from>
    <xdr:to>
      <xdr:col>0</xdr:col>
      <xdr:colOff>847725</xdr:colOff>
      <xdr:row>4</xdr:row>
      <xdr:rowOff>190500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D4E9F520-70E7-4490-9415-A64DB3CE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666750" cy="9715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0</xdr:row>
      <xdr:rowOff>152400</xdr:rowOff>
    </xdr:from>
    <xdr:to>
      <xdr:col>0</xdr:col>
      <xdr:colOff>847725</xdr:colOff>
      <xdr:row>4</xdr:row>
      <xdr:rowOff>190500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8E103C68-01C0-476F-BE2A-0FBE2A92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666750" cy="9715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0</xdr:row>
      <xdr:rowOff>152400</xdr:rowOff>
    </xdr:from>
    <xdr:to>
      <xdr:col>0</xdr:col>
      <xdr:colOff>847725</xdr:colOff>
      <xdr:row>4</xdr:row>
      <xdr:rowOff>190500</xdr:rowOff>
    </xdr:to>
    <xdr:pic>
      <xdr:nvPicPr>
        <xdr:cNvPr id="3076" name="Picture 1">
          <a:extLst>
            <a:ext uri="{FF2B5EF4-FFF2-40B4-BE49-F238E27FC236}">
              <a16:creationId xmlns:a16="http://schemas.microsoft.com/office/drawing/2014/main" id="{84620386-2A33-48C9-BD5E-DE45F540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666750" cy="9715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R54"/>
  <sheetViews>
    <sheetView showGridLines="0" tabSelected="1" zoomScale="90" zoomScaleNormal="90" workbookViewId="0">
      <pane ySplit="2" topLeftCell="A9" activePane="bottomLeft" state="frozen"/>
      <selection pane="bottomLeft" activeCell="B1" sqref="B1"/>
    </sheetView>
  </sheetViews>
  <sheetFormatPr defaultRowHeight="15" x14ac:dyDescent="0.25"/>
  <cols>
    <col min="1" max="1" width="3.7109375" style="1" customWidth="1"/>
    <col min="2" max="2" width="117" style="2" customWidth="1"/>
    <col min="3" max="3" width="3.7109375" customWidth="1"/>
    <col min="4" max="4" width="3.140625" style="1" customWidth="1"/>
    <col min="5" max="5" width="14.28515625" style="3" customWidth="1"/>
    <col min="6" max="6" width="15.7109375" style="3" customWidth="1"/>
    <col min="7" max="252" width="9.140625" style="1"/>
  </cols>
  <sheetData>
    <row r="1" spans="2:9" ht="44.25" customHeight="1" x14ac:dyDescent="0.25">
      <c r="B1" s="4" t="s">
        <v>0</v>
      </c>
      <c r="E1" s="5" t="s">
        <v>1</v>
      </c>
      <c r="F1" s="6"/>
      <c r="H1" s="5"/>
    </row>
    <row r="2" spans="2:9" ht="33.75" customHeight="1" x14ac:dyDescent="0.25">
      <c r="B2" s="7" t="s">
        <v>2</v>
      </c>
      <c r="E2" s="8">
        <v>2015</v>
      </c>
      <c r="F2" s="8">
        <v>2016</v>
      </c>
    </row>
    <row r="3" spans="2:9" x14ac:dyDescent="0.25">
      <c r="B3" s="9" t="s">
        <v>3</v>
      </c>
      <c r="E3" s="10"/>
      <c r="F3" s="10"/>
    </row>
    <row r="4" spans="2:9" x14ac:dyDescent="0.25">
      <c r="B4" s="11" t="s">
        <v>4</v>
      </c>
      <c r="E4" s="12">
        <v>907974.79</v>
      </c>
      <c r="F4" s="12">
        <v>907974.79</v>
      </c>
    </row>
    <row r="5" spans="2:9" x14ac:dyDescent="0.25">
      <c r="B5" s="11" t="s">
        <v>5</v>
      </c>
      <c r="E5" s="13">
        <v>116446.27</v>
      </c>
      <c r="F5" s="13">
        <v>116446.27</v>
      </c>
      <c r="G5" s="14"/>
      <c r="H5" s="14"/>
      <c r="I5" s="14"/>
    </row>
    <row r="6" spans="2:9" x14ac:dyDescent="0.25">
      <c r="B6" s="11" t="s">
        <v>6</v>
      </c>
      <c r="E6" s="13">
        <v>59261.34</v>
      </c>
      <c r="F6" s="13">
        <v>59261.34</v>
      </c>
      <c r="G6" s="14"/>
      <c r="H6" s="14"/>
    </row>
    <row r="7" spans="2:9" x14ac:dyDescent="0.25">
      <c r="B7" s="11" t="s">
        <v>7</v>
      </c>
      <c r="E7" s="12"/>
      <c r="F7" s="12"/>
      <c r="G7" s="14"/>
      <c r="H7" s="14"/>
    </row>
    <row r="8" spans="2:9" x14ac:dyDescent="0.25">
      <c r="B8" s="11" t="s">
        <v>8</v>
      </c>
      <c r="E8" s="12"/>
      <c r="F8" s="12"/>
      <c r="G8" s="14"/>
      <c r="H8" s="14"/>
    </row>
    <row r="9" spans="2:9" x14ac:dyDescent="0.25">
      <c r="B9" s="11" t="s">
        <v>9</v>
      </c>
      <c r="E9" s="12"/>
      <c r="F9" s="12"/>
    </row>
    <row r="10" spans="2:9" x14ac:dyDescent="0.25">
      <c r="B10" s="11" t="s">
        <v>10</v>
      </c>
      <c r="E10" s="12"/>
      <c r="F10" s="12"/>
    </row>
    <row r="11" spans="2:9" x14ac:dyDescent="0.25">
      <c r="B11" s="11" t="s">
        <v>11</v>
      </c>
      <c r="E11" s="12"/>
      <c r="F11" s="12"/>
    </row>
    <row r="12" spans="2:9" x14ac:dyDescent="0.25">
      <c r="B12" s="11" t="s">
        <v>12</v>
      </c>
      <c r="E12" s="13">
        <v>18140.59</v>
      </c>
      <c r="F12" s="13">
        <v>18140.59</v>
      </c>
    </row>
    <row r="13" spans="2:9" x14ac:dyDescent="0.25">
      <c r="B13" s="11" t="s">
        <v>13</v>
      </c>
      <c r="E13" s="13">
        <v>79831.509999999995</v>
      </c>
      <c r="F13" s="15">
        <f>79831.51+4412.46-2513</f>
        <v>81730.97</v>
      </c>
    </row>
    <row r="14" spans="2:9" x14ac:dyDescent="0.25">
      <c r="B14" s="11" t="s">
        <v>14</v>
      </c>
      <c r="E14" s="13"/>
      <c r="F14" s="16"/>
    </row>
    <row r="15" spans="2:9" x14ac:dyDescent="0.25">
      <c r="B15" s="17" t="s">
        <v>15</v>
      </c>
      <c r="E15" s="18"/>
      <c r="F15" s="12"/>
    </row>
    <row r="16" spans="2:9" x14ac:dyDescent="0.25">
      <c r="B16" s="19" t="s">
        <v>16</v>
      </c>
      <c r="D16" s="20"/>
      <c r="E16" s="13">
        <v>94924.81</v>
      </c>
      <c r="F16" s="13">
        <v>94924.81</v>
      </c>
    </row>
    <row r="17" spans="2:6" ht="22.5" customHeight="1" x14ac:dyDescent="0.25">
      <c r="B17" s="21" t="s">
        <v>17</v>
      </c>
      <c r="E17" s="22">
        <f>SUM(E4:E14)-E16</f>
        <v>1086729.6900000002</v>
      </c>
      <c r="F17" s="22">
        <f>SUM(F4:F14)-F16-F15</f>
        <v>1088629.1500000001</v>
      </c>
    </row>
    <row r="18" spans="2:6" x14ac:dyDescent="0.25">
      <c r="B18" s="23" t="s">
        <v>18</v>
      </c>
      <c r="E18" s="24"/>
      <c r="F18" s="24"/>
    </row>
    <row r="19" spans="2:6" x14ac:dyDescent="0.25">
      <c r="B19" s="11" t="s">
        <v>19</v>
      </c>
      <c r="E19" s="25"/>
      <c r="F19" s="25"/>
    </row>
    <row r="20" spans="2:6" x14ac:dyDescent="0.25">
      <c r="B20" s="11" t="s">
        <v>20</v>
      </c>
      <c r="E20" s="25">
        <v>3600</v>
      </c>
      <c r="F20" s="25">
        <v>5000</v>
      </c>
    </row>
    <row r="21" spans="2:6" x14ac:dyDescent="0.25">
      <c r="B21" s="11" t="s">
        <v>21</v>
      </c>
      <c r="E21" s="25">
        <v>82689.33</v>
      </c>
      <c r="F21" s="25"/>
    </row>
    <row r="22" spans="2:6" x14ac:dyDescent="0.25">
      <c r="B22" s="11" t="s">
        <v>22</v>
      </c>
      <c r="E22" s="25"/>
      <c r="F22" s="25"/>
    </row>
    <row r="23" spans="2:6" x14ac:dyDescent="0.25">
      <c r="B23" s="11" t="s">
        <v>23</v>
      </c>
      <c r="E23" s="25">
        <v>127052.73</v>
      </c>
      <c r="F23" s="25">
        <v>202929</v>
      </c>
    </row>
    <row r="24" spans="2:6" x14ac:dyDescent="0.25">
      <c r="B24" s="11" t="s">
        <v>24</v>
      </c>
      <c r="E24" s="25"/>
      <c r="F24" s="25"/>
    </row>
    <row r="25" spans="2:6" x14ac:dyDescent="0.25">
      <c r="B25" s="11" t="s">
        <v>25</v>
      </c>
      <c r="E25" s="25">
        <v>3500</v>
      </c>
      <c r="F25" s="25">
        <v>4500</v>
      </c>
    </row>
    <row r="26" spans="2:6" x14ac:dyDescent="0.25">
      <c r="B26" s="11" t="s">
        <v>26</v>
      </c>
      <c r="E26" s="26"/>
      <c r="F26" s="26"/>
    </row>
    <row r="27" spans="2:6" x14ac:dyDescent="0.25">
      <c r="B27" s="17" t="s">
        <v>27</v>
      </c>
      <c r="E27" s="18"/>
      <c r="F27" s="27"/>
    </row>
    <row r="28" spans="2:6" ht="22.5" customHeight="1" x14ac:dyDescent="0.25">
      <c r="B28" s="28" t="s">
        <v>28</v>
      </c>
      <c r="E28" s="29">
        <f>SUM(E20:E26)-E27</f>
        <v>216842.06</v>
      </c>
      <c r="F28" s="29">
        <f>SUM(F20:F26)-F27</f>
        <v>212429</v>
      </c>
    </row>
    <row r="29" spans="2:6" ht="22.5" customHeight="1" x14ac:dyDescent="0.25">
      <c r="B29" s="9" t="s">
        <v>29</v>
      </c>
      <c r="E29" s="24"/>
      <c r="F29" s="24"/>
    </row>
    <row r="30" spans="2:6" x14ac:dyDescent="0.25">
      <c r="B30" s="11" t="s">
        <v>30</v>
      </c>
      <c r="E30" s="25">
        <v>35623.18</v>
      </c>
      <c r="F30" s="25">
        <f>24304.82+2716.26</f>
        <v>27021.08</v>
      </c>
    </row>
    <row r="31" spans="2:6" x14ac:dyDescent="0.25">
      <c r="B31" s="11" t="s">
        <v>31</v>
      </c>
      <c r="E31" s="25"/>
      <c r="F31" s="25"/>
    </row>
    <row r="32" spans="2:6" x14ac:dyDescent="0.25">
      <c r="B32" s="11" t="s">
        <v>32</v>
      </c>
      <c r="E32" s="25">
        <v>37792.89</v>
      </c>
      <c r="F32" s="25">
        <v>37792.89</v>
      </c>
    </row>
    <row r="33" spans="2:6" x14ac:dyDescent="0.25">
      <c r="B33" s="11" t="s">
        <v>33</v>
      </c>
      <c r="E33" s="25"/>
      <c r="F33" s="25"/>
    </row>
    <row r="34" spans="2:6" x14ac:dyDescent="0.25">
      <c r="B34" s="11" t="s">
        <v>34</v>
      </c>
      <c r="E34" s="25">
        <v>1000</v>
      </c>
      <c r="F34" s="25">
        <v>1000</v>
      </c>
    </row>
    <row r="35" spans="2:6" x14ac:dyDescent="0.25">
      <c r="B35" s="11" t="s">
        <v>35</v>
      </c>
      <c r="E35" s="25"/>
      <c r="F35" s="12"/>
    </row>
    <row r="36" spans="2:6" ht="22.5" customHeight="1" x14ac:dyDescent="0.25">
      <c r="B36" s="30" t="s">
        <v>36</v>
      </c>
      <c r="E36" s="29">
        <f>SUM(E30:E35)</f>
        <v>74416.070000000007</v>
      </c>
      <c r="F36" s="29">
        <f>SUM(F30:F35)</f>
        <v>65813.97</v>
      </c>
    </row>
    <row r="37" spans="2:6" ht="22.5" customHeight="1" x14ac:dyDescent="0.25">
      <c r="B37" s="21" t="s">
        <v>37</v>
      </c>
      <c r="E37" s="31">
        <f>+E36+E28</f>
        <v>291258.13</v>
      </c>
      <c r="F37" s="31">
        <f>+F36+F28</f>
        <v>278242.96999999997</v>
      </c>
    </row>
    <row r="38" spans="2:6" ht="36.75" customHeight="1" x14ac:dyDescent="0.25">
      <c r="B38" s="32" t="s">
        <v>38</v>
      </c>
      <c r="E38" s="33">
        <f>+E37+E17</f>
        <v>1377987.8200000003</v>
      </c>
      <c r="F38" s="33">
        <f>+F37+F17</f>
        <v>1366872.12</v>
      </c>
    </row>
    <row r="40" spans="2:6" x14ac:dyDescent="0.25">
      <c r="B40" s="34" t="s">
        <v>39</v>
      </c>
      <c r="E40" s="35">
        <f>+E38-E36</f>
        <v>1303571.7500000002</v>
      </c>
      <c r="F40" s="35">
        <f>+F38-F36</f>
        <v>1301058.1500000001</v>
      </c>
    </row>
    <row r="41" spans="2:6" x14ac:dyDescent="0.25">
      <c r="B41" s="36"/>
      <c r="E41" s="37"/>
      <c r="F41" s="37"/>
    </row>
    <row r="42" spans="2:6" ht="16.5" customHeight="1" x14ac:dyDescent="0.25">
      <c r="B42" s="34" t="s">
        <v>40</v>
      </c>
      <c r="E42" s="35">
        <f>E40+E41</f>
        <v>1303571.7500000002</v>
      </c>
      <c r="F42" s="35">
        <f>F40+F41</f>
        <v>1301058.1500000001</v>
      </c>
    </row>
    <row r="43" spans="2:6" ht="35.65" customHeight="1" x14ac:dyDescent="0.25">
      <c r="B43" s="38" t="s">
        <v>41</v>
      </c>
      <c r="E43" s="39"/>
      <c r="F43" s="39"/>
    </row>
    <row r="44" spans="2:6" ht="16.5" customHeight="1" x14ac:dyDescent="0.25">
      <c r="B44" s="40" t="s">
        <v>42</v>
      </c>
      <c r="E44" s="41"/>
      <c r="F44" s="41"/>
    </row>
    <row r="45" spans="2:6" ht="16.5" customHeight="1" x14ac:dyDescent="0.25">
      <c r="B45" s="42" t="s">
        <v>43</v>
      </c>
      <c r="E45" s="43">
        <v>474.96</v>
      </c>
      <c r="F45" s="43">
        <v>483.77</v>
      </c>
    </row>
    <row r="46" spans="2:6" ht="16.5" customHeight="1" x14ac:dyDescent="0.25">
      <c r="B46" s="42" t="s">
        <v>44</v>
      </c>
      <c r="E46" s="44">
        <v>483.77</v>
      </c>
      <c r="F46" s="44">
        <v>475.77</v>
      </c>
    </row>
    <row r="47" spans="2:6" ht="16.5" customHeight="1" x14ac:dyDescent="0.25">
      <c r="B47" s="45" t="s">
        <v>45</v>
      </c>
      <c r="E47" s="46">
        <f>ROUND((E45+E46)/2,2)</f>
        <v>479.37</v>
      </c>
      <c r="F47" s="46">
        <f>ROUND((F45+F46)/2,2)</f>
        <v>479.77</v>
      </c>
    </row>
    <row r="48" spans="2:6" ht="16.5" customHeight="1" x14ac:dyDescent="0.25">
      <c r="B48" s="45" t="s">
        <v>46</v>
      </c>
      <c r="E48" s="47"/>
      <c r="F48" s="48">
        <f>IF($E$47=0,0,ROUND(IF((F47-$E$47)/$E$47&lt;0,-(F47-$E$47)/$E$47,0),4))</f>
        <v>0</v>
      </c>
    </row>
    <row r="49" spans="2:6" ht="16.5" customHeight="1" x14ac:dyDescent="0.25">
      <c r="B49" s="49"/>
      <c r="E49" s="1"/>
      <c r="F49" s="50">
        <f>ROUND($E$42*(1-F48),0)</f>
        <v>1303572</v>
      </c>
    </row>
    <row r="50" spans="2:6" ht="16.5" customHeight="1" x14ac:dyDescent="0.25">
      <c r="B50" s="51"/>
      <c r="E50" s="52"/>
      <c r="F50" s="52"/>
    </row>
    <row r="51" spans="2:6" ht="16.5" customHeight="1" x14ac:dyDescent="0.25">
      <c r="B51" s="53" t="s">
        <v>47</v>
      </c>
      <c r="E51" s="1"/>
      <c r="F51" s="54">
        <f>IF((F42-F49)&gt;0,F42-F49,0)</f>
        <v>0</v>
      </c>
    </row>
    <row r="52" spans="2:6" ht="16.5" customHeight="1" x14ac:dyDescent="0.25">
      <c r="B52" s="51"/>
      <c r="E52" s="1"/>
      <c r="F52" s="55">
        <f>IF(F42-$E$42&gt;0,F42-$E$42,0)</f>
        <v>0</v>
      </c>
    </row>
    <row r="53" spans="2:6" ht="16.5" customHeight="1" x14ac:dyDescent="0.25">
      <c r="B53" s="51"/>
      <c r="E53" s="1"/>
      <c r="F53" s="56">
        <f>IF(F42-F49&gt;0,F42-F49-F52,0)</f>
        <v>0</v>
      </c>
    </row>
    <row r="54" spans="2:6" ht="26.25" customHeight="1" x14ac:dyDescent="0.25"/>
  </sheetData>
  <sheetProtection selectLockedCells="1" selectUnlockedCells="1"/>
  <printOptions horizont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zoomScale="90" zoomScaleNormal="90" workbookViewId="0">
      <selection activeCell="C50" sqref="C50:D50"/>
    </sheetView>
  </sheetViews>
  <sheetFormatPr defaultColWidth="11.5703125" defaultRowHeight="15.75" x14ac:dyDescent="0.25"/>
  <cols>
    <col min="2" max="2" width="61.42578125" style="57" customWidth="1"/>
    <col min="4" max="4" width="17" customWidth="1"/>
  </cols>
  <sheetData>
    <row r="1" spans="2:4" x14ac:dyDescent="0.25">
      <c r="B1" s="58" t="s">
        <v>48</v>
      </c>
    </row>
    <row r="2" spans="2:4" ht="15" x14ac:dyDescent="0.25">
      <c r="B2" s="188" t="s">
        <v>49</v>
      </c>
      <c r="C2" s="188"/>
      <c r="D2" s="188"/>
    </row>
    <row r="3" spans="2:4" ht="15" x14ac:dyDescent="0.25">
      <c r="B3" s="188"/>
      <c r="C3" s="188"/>
      <c r="D3" s="188"/>
    </row>
    <row r="4" spans="2:4" ht="15" x14ac:dyDescent="0.25">
      <c r="B4" s="189" t="s">
        <v>50</v>
      </c>
      <c r="C4" s="189"/>
      <c r="D4" s="189"/>
    </row>
    <row r="5" spans="2:4" x14ac:dyDescent="0.25">
      <c r="B5" s="59"/>
    </row>
    <row r="6" spans="2:4" ht="41.1" customHeight="1" x14ac:dyDescent="0.25">
      <c r="B6" s="190" t="s">
        <v>51</v>
      </c>
      <c r="C6" s="190"/>
      <c r="D6" s="190"/>
    </row>
    <row r="7" spans="2:4" ht="29.85" customHeight="1" x14ac:dyDescent="0.25">
      <c r="B7" s="191" t="s">
        <v>52</v>
      </c>
      <c r="C7" s="191"/>
      <c r="D7" s="191"/>
    </row>
    <row r="8" spans="2:4" ht="17.25" customHeight="1" x14ac:dyDescent="0.25">
      <c r="B8" s="192" t="s">
        <v>53</v>
      </c>
      <c r="C8" s="192"/>
      <c r="D8" s="192"/>
    </row>
    <row r="9" spans="2:4" ht="17.25" customHeight="1" x14ac:dyDescent="0.25">
      <c r="B9" s="193" t="s">
        <v>54</v>
      </c>
      <c r="C9" s="193"/>
      <c r="D9" s="193"/>
    </row>
    <row r="10" spans="2:4" ht="29.85" customHeight="1" x14ac:dyDescent="0.25">
      <c r="B10" s="62" t="s">
        <v>55</v>
      </c>
      <c r="C10" s="194" t="s">
        <v>56</v>
      </c>
      <c r="D10" s="194"/>
    </row>
    <row r="11" spans="2:4" ht="17.25" customHeight="1" x14ac:dyDescent="0.25">
      <c r="B11" s="195" t="s">
        <v>57</v>
      </c>
      <c r="C11" s="195"/>
      <c r="D11" s="195"/>
    </row>
    <row r="12" spans="2:4" ht="17.25" customHeight="1" x14ac:dyDescent="0.25">
      <c r="B12" s="62" t="s">
        <v>58</v>
      </c>
      <c r="C12" s="194">
        <v>64461.33</v>
      </c>
      <c r="D12" s="194"/>
    </row>
    <row r="13" spans="2:4" ht="17.25" customHeight="1" x14ac:dyDescent="0.25">
      <c r="B13" s="62" t="s">
        <v>59</v>
      </c>
      <c r="C13" s="194">
        <v>51984.94</v>
      </c>
      <c r="D13" s="194"/>
    </row>
    <row r="14" spans="2:4" ht="17.25" customHeight="1" x14ac:dyDescent="0.25">
      <c r="B14" s="62" t="s">
        <v>60</v>
      </c>
      <c r="C14" s="194">
        <v>59261.34</v>
      </c>
      <c r="D14" s="194"/>
    </row>
    <row r="15" spans="2:4" ht="17.25" customHeight="1" x14ac:dyDescent="0.25">
      <c r="B15" s="62" t="s">
        <v>61</v>
      </c>
      <c r="C15" s="194">
        <v>0</v>
      </c>
      <c r="D15" s="194"/>
    </row>
    <row r="16" spans="2:4" ht="17.25" customHeight="1" x14ac:dyDescent="0.25">
      <c r="B16" s="193" t="s">
        <v>62</v>
      </c>
      <c r="C16" s="193"/>
      <c r="D16" s="193"/>
    </row>
    <row r="17" spans="2:4" ht="17.25" customHeight="1" x14ac:dyDescent="0.25">
      <c r="B17" s="62" t="s">
        <v>63</v>
      </c>
      <c r="C17" s="63"/>
      <c r="D17" s="63">
        <v>76432.66</v>
      </c>
    </row>
    <row r="18" spans="2:4" ht="38.1" customHeight="1" x14ac:dyDescent="0.25">
      <c r="B18" s="62" t="s">
        <v>64</v>
      </c>
      <c r="C18" s="63"/>
      <c r="D18" s="63">
        <f>3398.85+4412.46-2513</f>
        <v>5298.3099999999995</v>
      </c>
    </row>
    <row r="19" spans="2:4" ht="17.25" customHeight="1" x14ac:dyDescent="0.25">
      <c r="B19" s="62"/>
      <c r="C19" s="63"/>
      <c r="D19" s="64"/>
    </row>
    <row r="20" spans="2:4" ht="29.85" customHeight="1" x14ac:dyDescent="0.25">
      <c r="B20" s="62" t="s">
        <v>65</v>
      </c>
      <c r="C20" s="194">
        <v>18140.59</v>
      </c>
      <c r="D20" s="194"/>
    </row>
    <row r="21" spans="2:4" ht="29.85" customHeight="1" x14ac:dyDescent="0.25">
      <c r="B21" s="62" t="s">
        <v>66</v>
      </c>
      <c r="C21" s="194">
        <v>0</v>
      </c>
      <c r="D21" s="194"/>
    </row>
    <row r="22" spans="2:4" ht="17.25" customHeight="1" x14ac:dyDescent="0.25">
      <c r="B22" s="62" t="s">
        <v>61</v>
      </c>
      <c r="C22" s="194">
        <v>0</v>
      </c>
      <c r="D22" s="194"/>
    </row>
    <row r="23" spans="2:4" ht="17.25" customHeight="1" x14ac:dyDescent="0.25">
      <c r="B23" s="62" t="s">
        <v>67</v>
      </c>
      <c r="C23" s="194">
        <v>0</v>
      </c>
      <c r="D23" s="194"/>
    </row>
    <row r="24" spans="2:4" ht="17.25" customHeight="1" x14ac:dyDescent="0.25">
      <c r="B24" s="193" t="s">
        <v>68</v>
      </c>
      <c r="C24" s="193"/>
      <c r="D24" s="193"/>
    </row>
    <row r="25" spans="2:4" ht="17.25" customHeight="1" x14ac:dyDescent="0.25">
      <c r="B25" s="65" t="s">
        <v>69</v>
      </c>
      <c r="C25" s="196">
        <f>C10+C12+C13+C14+C15+D17+D18+C20++D19+C21+C22+C23</f>
        <v>1183553.9600000002</v>
      </c>
      <c r="D25" s="196"/>
    </row>
    <row r="26" spans="2:4" ht="32.85" customHeight="1" x14ac:dyDescent="0.25">
      <c r="B26" s="197" t="s">
        <v>70</v>
      </c>
      <c r="C26" s="198"/>
      <c r="D26" s="198"/>
    </row>
    <row r="27" spans="2:4" ht="17.25" customHeight="1" x14ac:dyDescent="0.25">
      <c r="B27" s="197"/>
      <c r="C27" s="198">
        <v>94924.81</v>
      </c>
      <c r="D27" s="198"/>
    </row>
    <row r="28" spans="2:4" ht="17.25" customHeight="1" x14ac:dyDescent="0.25">
      <c r="B28" s="65" t="s">
        <v>71</v>
      </c>
      <c r="C28" s="198">
        <f>C25-C27</f>
        <v>1088629.1500000001</v>
      </c>
      <c r="D28" s="198"/>
    </row>
    <row r="29" spans="2:4" ht="17.25" customHeight="1" x14ac:dyDescent="0.25">
      <c r="B29" s="65"/>
      <c r="C29" s="199"/>
      <c r="D29" s="199"/>
    </row>
    <row r="30" spans="2:4" ht="17.25" customHeight="1" x14ac:dyDescent="0.25">
      <c r="B30" s="193" t="s">
        <v>72</v>
      </c>
      <c r="C30" s="193"/>
      <c r="D30" s="193"/>
    </row>
    <row r="31" spans="2:4" ht="17.25" customHeight="1" x14ac:dyDescent="0.25">
      <c r="B31" s="200"/>
      <c r="C31" s="200"/>
      <c r="D31" s="200"/>
    </row>
    <row r="32" spans="2:4" ht="17.25" customHeight="1" x14ac:dyDescent="0.25">
      <c r="B32" s="192" t="s">
        <v>73</v>
      </c>
      <c r="C32" s="192"/>
      <c r="D32" s="192"/>
    </row>
    <row r="33" spans="2:4" ht="29.85" customHeight="1" x14ac:dyDescent="0.25">
      <c r="B33" s="62" t="s">
        <v>74</v>
      </c>
      <c r="C33" s="194">
        <v>0</v>
      </c>
      <c r="D33" s="194"/>
    </row>
    <row r="34" spans="2:4" ht="29.85" customHeight="1" x14ac:dyDescent="0.25">
      <c r="B34" s="62" t="s">
        <v>75</v>
      </c>
      <c r="C34" s="194"/>
      <c r="D34" s="194"/>
    </row>
    <row r="35" spans="2:4" ht="17.25" customHeight="1" x14ac:dyDescent="0.25">
      <c r="B35" s="62" t="s">
        <v>76</v>
      </c>
      <c r="C35" s="194">
        <v>0</v>
      </c>
      <c r="D35" s="194"/>
    </row>
    <row r="36" spans="2:4" ht="43.35" customHeight="1" x14ac:dyDescent="0.25">
      <c r="B36" s="62" t="s">
        <v>77</v>
      </c>
      <c r="C36" s="194">
        <v>202929</v>
      </c>
      <c r="D36" s="194"/>
    </row>
    <row r="37" spans="2:4" ht="17.25" customHeight="1" x14ac:dyDescent="0.25">
      <c r="B37" s="62" t="s">
        <v>78</v>
      </c>
      <c r="C37" s="194">
        <v>4500</v>
      </c>
      <c r="D37" s="194"/>
    </row>
    <row r="38" spans="2:4" ht="29.85" customHeight="1" x14ac:dyDescent="0.25">
      <c r="B38" s="66" t="s">
        <v>79</v>
      </c>
      <c r="C38" s="194">
        <v>5000</v>
      </c>
      <c r="D38" s="194"/>
    </row>
    <row r="39" spans="2:4" ht="31.35" customHeight="1" x14ac:dyDescent="0.25">
      <c r="B39" s="67" t="s">
        <v>80</v>
      </c>
      <c r="C39" s="198">
        <f>SUM(C33:C38)</f>
        <v>212429</v>
      </c>
      <c r="D39" s="198"/>
    </row>
    <row r="40" spans="2:4" ht="17.25" customHeight="1" x14ac:dyDescent="0.25">
      <c r="B40" s="67"/>
      <c r="C40" s="199"/>
      <c r="D40" s="199"/>
    </row>
    <row r="41" spans="2:4" ht="17.25" customHeight="1" x14ac:dyDescent="0.25">
      <c r="B41" s="192" t="s">
        <v>81</v>
      </c>
      <c r="C41" s="192"/>
      <c r="D41" s="192"/>
    </row>
    <row r="42" spans="2:4" ht="17.25" customHeight="1" x14ac:dyDescent="0.25">
      <c r="B42" s="201"/>
      <c r="C42" s="201"/>
      <c r="D42" s="201"/>
    </row>
    <row r="43" spans="2:4" ht="29.85" customHeight="1" x14ac:dyDescent="0.25">
      <c r="B43" s="62" t="s">
        <v>82</v>
      </c>
      <c r="C43" s="202">
        <v>1000</v>
      </c>
      <c r="D43" s="202"/>
    </row>
    <row r="44" spans="2:4" ht="29.85" customHeight="1" x14ac:dyDescent="0.25">
      <c r="B44" s="62" t="s">
        <v>83</v>
      </c>
      <c r="C44" s="202">
        <v>37792.89</v>
      </c>
      <c r="D44" s="202"/>
    </row>
    <row r="45" spans="2:4" ht="17.25" customHeight="1" x14ac:dyDescent="0.25">
      <c r="B45" s="62" t="s">
        <v>84</v>
      </c>
      <c r="C45" s="194">
        <v>1074.8</v>
      </c>
      <c r="D45" s="194"/>
    </row>
    <row r="46" spans="2:4" ht="17.25" customHeight="1" x14ac:dyDescent="0.25">
      <c r="B46" s="62" t="s">
        <v>85</v>
      </c>
      <c r="C46" s="194">
        <v>23230.02</v>
      </c>
      <c r="D46" s="194"/>
    </row>
    <row r="47" spans="2:4" ht="17.25" customHeight="1" x14ac:dyDescent="0.25">
      <c r="B47" s="62" t="s">
        <v>86</v>
      </c>
      <c r="C47" s="63">
        <v>2716.26</v>
      </c>
      <c r="D47" s="63"/>
    </row>
    <row r="48" spans="2:4" ht="31.35" customHeight="1" x14ac:dyDescent="0.25">
      <c r="B48" s="61" t="s">
        <v>87</v>
      </c>
      <c r="C48" s="198">
        <f>SUM(C43:C47)</f>
        <v>65813.97</v>
      </c>
      <c r="D48" s="198"/>
    </row>
    <row r="49" spans="2:4" x14ac:dyDescent="0.25">
      <c r="B49" s="68"/>
      <c r="C49" s="68"/>
      <c r="D49" s="68"/>
    </row>
    <row r="50" spans="2:4" ht="17.25" customHeight="1" x14ac:dyDescent="0.25">
      <c r="B50" s="69" t="s">
        <v>88</v>
      </c>
      <c r="C50" s="198">
        <f>C48+C39+C28</f>
        <v>1366872.12</v>
      </c>
      <c r="D50" s="198"/>
    </row>
  </sheetData>
  <sheetProtection selectLockedCells="1" selectUnlockedCells="1"/>
  <mergeCells count="43">
    <mergeCell ref="C50:D50"/>
    <mergeCell ref="B42:D42"/>
    <mergeCell ref="C43:D43"/>
    <mergeCell ref="C44:D44"/>
    <mergeCell ref="C45:D45"/>
    <mergeCell ref="C46:D46"/>
    <mergeCell ref="C48:D48"/>
    <mergeCell ref="C36:D36"/>
    <mergeCell ref="C37:D37"/>
    <mergeCell ref="C38:D38"/>
    <mergeCell ref="C39:D39"/>
    <mergeCell ref="C40:D40"/>
    <mergeCell ref="B41:D41"/>
    <mergeCell ref="B30:D30"/>
    <mergeCell ref="B31:D31"/>
    <mergeCell ref="B32:D32"/>
    <mergeCell ref="C33:D33"/>
    <mergeCell ref="C34:D34"/>
    <mergeCell ref="C35:D35"/>
    <mergeCell ref="C25:D25"/>
    <mergeCell ref="B26:B27"/>
    <mergeCell ref="C26:D26"/>
    <mergeCell ref="C27:D27"/>
    <mergeCell ref="C28:D28"/>
    <mergeCell ref="C29:D29"/>
    <mergeCell ref="B16:D16"/>
    <mergeCell ref="C20:D20"/>
    <mergeCell ref="C21:D21"/>
    <mergeCell ref="C22:D22"/>
    <mergeCell ref="C23:D23"/>
    <mergeCell ref="B24:D24"/>
    <mergeCell ref="C10:D10"/>
    <mergeCell ref="B11:D11"/>
    <mergeCell ref="C12:D12"/>
    <mergeCell ref="C13:D13"/>
    <mergeCell ref="C14:D14"/>
    <mergeCell ref="C15:D15"/>
    <mergeCell ref="B2:D3"/>
    <mergeCell ref="B4:D4"/>
    <mergeCell ref="B6:D6"/>
    <mergeCell ref="B7:D7"/>
    <mergeCell ref="B8:D8"/>
    <mergeCell ref="B9:D9"/>
  </mergeCells>
  <pageMargins left="0.78749999999999998" right="0.78749999999999998" top="1.0527777777777778" bottom="1.0527777777777778" header="0.78749999999999998" footer="0.78749999999999998"/>
  <pageSetup paperSize="9" scale="64" firstPageNumber="0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48" zoomScale="90" zoomScaleNormal="90" workbookViewId="0">
      <selection activeCell="A50" sqref="A50:I51"/>
    </sheetView>
  </sheetViews>
  <sheetFormatPr defaultRowHeight="12.75" x14ac:dyDescent="0.2"/>
  <cols>
    <col min="1" max="1" width="30.28515625" style="70" customWidth="1"/>
    <col min="2" max="2" width="25.7109375" style="71" customWidth="1"/>
    <col min="3" max="3" width="19.28515625" style="72" customWidth="1"/>
    <col min="4" max="4" width="19.28515625" style="70" customWidth="1"/>
    <col min="5" max="5" width="28.85546875" style="70" customWidth="1"/>
    <col min="6" max="6" width="25.28515625" style="70" customWidth="1"/>
    <col min="7" max="7" width="26.5703125" style="70" customWidth="1"/>
    <col min="8" max="8" width="17.7109375" style="70" customWidth="1"/>
    <col min="9" max="9" width="21" style="70" customWidth="1"/>
    <col min="10" max="10" width="21.5703125" style="70" customWidth="1"/>
    <col min="11" max="11" width="19" style="73" customWidth="1"/>
    <col min="12" max="16384" width="9.140625" style="70"/>
  </cols>
  <sheetData>
    <row r="1" spans="1:10" ht="15" x14ac:dyDescent="0.25">
      <c r="A1"/>
      <c r="C1" s="74"/>
      <c r="D1"/>
      <c r="E1"/>
      <c r="F1"/>
      <c r="G1" s="75"/>
    </row>
    <row r="2" spans="1:10" ht="20.25" x14ac:dyDescent="0.3">
      <c r="A2"/>
      <c r="C2"/>
      <c r="D2" s="75"/>
      <c r="F2" s="71"/>
      <c r="G2" s="76"/>
    </row>
    <row r="3" spans="1:10" ht="20.25" x14ac:dyDescent="0.3">
      <c r="A3"/>
      <c r="C3" s="71"/>
      <c r="D3" s="76" t="s">
        <v>89</v>
      </c>
      <c r="F3" s="71"/>
      <c r="G3" s="77"/>
    </row>
    <row r="4" spans="1:10" ht="18" x14ac:dyDescent="0.25">
      <c r="A4"/>
      <c r="C4" s="71"/>
      <c r="D4" s="77"/>
      <c r="F4" s="71"/>
      <c r="G4" s="77"/>
      <c r="H4" s="78"/>
    </row>
    <row r="5" spans="1:10" ht="18" x14ac:dyDescent="0.25">
      <c r="A5"/>
      <c r="C5" s="71"/>
      <c r="D5" s="77" t="s">
        <v>90</v>
      </c>
      <c r="E5" s="79"/>
      <c r="F5"/>
      <c r="G5"/>
    </row>
    <row r="6" spans="1:10" ht="15" x14ac:dyDescent="0.25">
      <c r="C6"/>
      <c r="D6"/>
    </row>
    <row r="7" spans="1:10" ht="15" x14ac:dyDescent="0.25">
      <c r="A7" s="203" t="s">
        <v>91</v>
      </c>
      <c r="B7" s="203"/>
      <c r="C7" s="203"/>
      <c r="D7" s="203"/>
      <c r="E7" s="203"/>
      <c r="F7" s="203"/>
      <c r="G7" s="203"/>
      <c r="H7" s="203"/>
      <c r="I7" s="203"/>
      <c r="J7" s="80"/>
    </row>
    <row r="8" spans="1:10" ht="15" x14ac:dyDescent="0.25">
      <c r="A8" s="203"/>
      <c r="B8" s="203"/>
      <c r="C8" s="203"/>
      <c r="D8" s="203"/>
      <c r="E8" s="203"/>
      <c r="F8" s="203"/>
      <c r="G8" s="203"/>
      <c r="H8" s="203"/>
      <c r="I8" s="203"/>
      <c r="J8" s="80"/>
    </row>
    <row r="9" spans="1:10" ht="15.75" x14ac:dyDescent="0.25">
      <c r="A9" s="77"/>
      <c r="B9" s="77"/>
      <c r="C9" s="81"/>
      <c r="D9" s="77"/>
      <c r="E9" s="77"/>
      <c r="F9" s="77"/>
      <c r="G9" s="77"/>
      <c r="H9" s="77"/>
      <c r="I9" s="82"/>
      <c r="J9" s="77"/>
    </row>
    <row r="10" spans="1:10" ht="12.75" customHeight="1" x14ac:dyDescent="0.2">
      <c r="A10" s="204" t="s">
        <v>92</v>
      </c>
      <c r="B10" s="204"/>
      <c r="C10" s="83" t="s">
        <v>93</v>
      </c>
      <c r="D10" s="84" t="s">
        <v>94</v>
      </c>
      <c r="E10" s="84" t="s">
        <v>95</v>
      </c>
      <c r="F10" s="84" t="s">
        <v>94</v>
      </c>
      <c r="G10" s="84" t="s">
        <v>96</v>
      </c>
      <c r="H10" s="84"/>
      <c r="I10" s="84"/>
    </row>
    <row r="11" spans="1:10" x14ac:dyDescent="0.2">
      <c r="A11" s="204"/>
      <c r="B11" s="204"/>
      <c r="C11" s="85"/>
      <c r="D11" s="85"/>
      <c r="E11" s="85"/>
      <c r="F11" s="85"/>
      <c r="G11" s="86"/>
      <c r="H11" s="84"/>
      <c r="I11" s="84"/>
    </row>
    <row r="12" spans="1:10" ht="117.2" customHeight="1" x14ac:dyDescent="0.2">
      <c r="A12" s="205" t="s">
        <v>97</v>
      </c>
      <c r="B12" s="205"/>
      <c r="C12" s="85">
        <v>215847.48</v>
      </c>
      <c r="D12" s="88" t="s">
        <v>98</v>
      </c>
      <c r="E12" s="89">
        <f>C12*26.68/100</f>
        <v>57588.107664000003</v>
      </c>
      <c r="F12" s="88" t="s">
        <v>98</v>
      </c>
      <c r="G12" s="89">
        <f t="shared" ref="G12:G18" si="0">C12*8.5/100</f>
        <v>18347.035800000001</v>
      </c>
      <c r="H12" s="90">
        <f>C12</f>
        <v>215847.48</v>
      </c>
      <c r="I12" s="91" t="s">
        <v>99</v>
      </c>
      <c r="J12" s="72"/>
    </row>
    <row r="13" spans="1:10" ht="96.95" customHeight="1" x14ac:dyDescent="0.2">
      <c r="A13" s="205" t="s">
        <v>100</v>
      </c>
      <c r="B13" s="205"/>
      <c r="C13" s="85">
        <v>9040.08</v>
      </c>
      <c r="D13" s="88" t="s">
        <v>98</v>
      </c>
      <c r="E13" s="89">
        <f>C13*26.68/100</f>
        <v>2411.8933440000001</v>
      </c>
      <c r="F13" s="88" t="s">
        <v>98</v>
      </c>
      <c r="G13" s="89">
        <f t="shared" si="0"/>
        <v>768.40679999999998</v>
      </c>
      <c r="H13" s="90">
        <f>C13</f>
        <v>9040.08</v>
      </c>
      <c r="I13" s="91" t="s">
        <v>99</v>
      </c>
      <c r="J13" s="72"/>
    </row>
    <row r="14" spans="1:10" ht="111.95" customHeight="1" x14ac:dyDescent="0.2">
      <c r="A14" s="205" t="s">
        <v>101</v>
      </c>
      <c r="B14" s="205"/>
      <c r="C14" s="85">
        <v>4091.04</v>
      </c>
      <c r="D14" s="88" t="s">
        <v>98</v>
      </c>
      <c r="E14" s="89">
        <f>C14*26.68/100</f>
        <v>1091.489472</v>
      </c>
      <c r="F14" s="88" t="s">
        <v>98</v>
      </c>
      <c r="G14" s="89">
        <f t="shared" si="0"/>
        <v>347.73839999999996</v>
      </c>
      <c r="H14" s="92">
        <f>C14</f>
        <v>4091.04</v>
      </c>
      <c r="I14" s="91" t="s">
        <v>99</v>
      </c>
      <c r="J14" s="93"/>
    </row>
    <row r="15" spans="1:10" ht="122.45" customHeight="1" x14ac:dyDescent="0.2">
      <c r="A15" s="205" t="s">
        <v>102</v>
      </c>
      <c r="B15" s="205"/>
      <c r="C15" s="85">
        <v>475124.79</v>
      </c>
      <c r="D15" s="88" t="s">
        <v>98</v>
      </c>
      <c r="E15" s="89">
        <f>C15*26.68/100</f>
        <v>126763.293972</v>
      </c>
      <c r="F15" s="88" t="s">
        <v>98</v>
      </c>
      <c r="G15" s="89">
        <f t="shared" si="0"/>
        <v>40385.607149999996</v>
      </c>
      <c r="H15" s="90">
        <f>C15</f>
        <v>475124.79</v>
      </c>
      <c r="I15" s="91" t="s">
        <v>99</v>
      </c>
      <c r="J15" s="94" t="s">
        <v>103</v>
      </c>
    </row>
    <row r="16" spans="1:10" ht="117.2" customHeight="1" x14ac:dyDescent="0.2">
      <c r="A16" s="205" t="s">
        <v>104</v>
      </c>
      <c r="B16" s="205"/>
      <c r="C16" s="85">
        <v>6068.64</v>
      </c>
      <c r="D16" s="88" t="s">
        <v>98</v>
      </c>
      <c r="E16" s="89">
        <f>C16*26.68/100</f>
        <v>1619.1131520000001</v>
      </c>
      <c r="F16" s="88" t="s">
        <v>98</v>
      </c>
      <c r="G16" s="89">
        <f t="shared" si="0"/>
        <v>515.83440000000007</v>
      </c>
      <c r="H16" s="83"/>
      <c r="I16" s="91" t="s">
        <v>99</v>
      </c>
      <c r="J16" s="72"/>
    </row>
    <row r="17" spans="1:11" s="72" customFormat="1" ht="96.2" customHeight="1" x14ac:dyDescent="0.2">
      <c r="A17" s="205" t="s">
        <v>105</v>
      </c>
      <c r="B17" s="205"/>
      <c r="C17" s="90">
        <f>96031.57+0.02</f>
        <v>96031.590000000011</v>
      </c>
      <c r="D17" s="88" t="s">
        <v>106</v>
      </c>
      <c r="E17" s="89">
        <f>C17*23.8/100</f>
        <v>22855.51842</v>
      </c>
      <c r="F17" s="88" t="s">
        <v>106</v>
      </c>
      <c r="G17" s="89">
        <f t="shared" si="0"/>
        <v>8162.6851500000012</v>
      </c>
      <c r="H17" s="90">
        <f>C17+E17+G17</f>
        <v>127049.79357000001</v>
      </c>
      <c r="I17" s="91" t="s">
        <v>107</v>
      </c>
      <c r="K17" s="95"/>
    </row>
    <row r="18" spans="1:11" ht="89.65" customHeight="1" x14ac:dyDescent="0.2">
      <c r="A18" s="205" t="s">
        <v>108</v>
      </c>
      <c r="B18" s="205"/>
      <c r="C18" s="96">
        <v>204951.66999999995</v>
      </c>
      <c r="D18" s="97" t="s">
        <v>109</v>
      </c>
      <c r="E18" s="98">
        <f>C18*23.8/100+0.01</f>
        <v>48778.507459999993</v>
      </c>
      <c r="F18" s="97" t="s">
        <v>109</v>
      </c>
      <c r="G18" s="98">
        <f t="shared" si="0"/>
        <v>17420.891949999997</v>
      </c>
      <c r="H18" s="98">
        <f>C18+E18+G18</f>
        <v>271151.06940999994</v>
      </c>
      <c r="I18" s="69" t="s">
        <v>110</v>
      </c>
    </row>
    <row r="19" spans="1:11" ht="89.65" customHeight="1" x14ac:dyDescent="0.2">
      <c r="A19" s="205" t="s">
        <v>111</v>
      </c>
      <c r="B19" s="205"/>
      <c r="C19" s="99">
        <v>2478.8000000000002</v>
      </c>
      <c r="D19" s="97" t="s">
        <v>112</v>
      </c>
      <c r="E19" s="98">
        <f t="shared" ref="E19:E24" si="1">C19*23.8/100</f>
        <v>589.95440000000008</v>
      </c>
      <c r="F19" s="97" t="s">
        <v>113</v>
      </c>
      <c r="G19" s="98">
        <v>210.69</v>
      </c>
      <c r="H19" s="98" t="s">
        <v>114</v>
      </c>
      <c r="I19" s="69" t="s">
        <v>115</v>
      </c>
    </row>
    <row r="20" spans="1:11" ht="89.65" customHeight="1" x14ac:dyDescent="0.2">
      <c r="A20" s="205" t="s">
        <v>116</v>
      </c>
      <c r="B20" s="205"/>
      <c r="C20" s="99">
        <v>15000</v>
      </c>
      <c r="D20" s="97" t="s">
        <v>117</v>
      </c>
      <c r="E20" s="98">
        <f t="shared" si="1"/>
        <v>3570</v>
      </c>
      <c r="F20" s="97" t="s">
        <v>118</v>
      </c>
      <c r="G20" s="98">
        <f>C20*8.5/100</f>
        <v>1275</v>
      </c>
      <c r="H20" s="98" t="s">
        <v>119</v>
      </c>
      <c r="I20" s="69" t="s">
        <v>115</v>
      </c>
    </row>
    <row r="21" spans="1:11" ht="89.65" customHeight="1" x14ac:dyDescent="0.2">
      <c r="A21" s="205" t="s">
        <v>120</v>
      </c>
      <c r="B21" s="205"/>
      <c r="C21" s="99">
        <v>3702.5</v>
      </c>
      <c r="D21" s="97" t="s">
        <v>121</v>
      </c>
      <c r="E21" s="98">
        <f t="shared" si="1"/>
        <v>881.19500000000005</v>
      </c>
      <c r="F21" s="97" t="s">
        <v>122</v>
      </c>
      <c r="G21" s="98">
        <f>C21*8.5/100</f>
        <v>314.71249999999998</v>
      </c>
      <c r="H21" s="98" t="s">
        <v>123</v>
      </c>
      <c r="I21" s="69" t="s">
        <v>115</v>
      </c>
    </row>
    <row r="22" spans="1:11" ht="31.35" customHeight="1" x14ac:dyDescent="0.2">
      <c r="A22" s="205"/>
      <c r="B22" s="205"/>
      <c r="C22" s="99">
        <v>330</v>
      </c>
      <c r="D22" s="100" t="s">
        <v>124</v>
      </c>
      <c r="E22" s="98">
        <f t="shared" si="1"/>
        <v>78.540000000000006</v>
      </c>
      <c r="F22" s="97" t="s">
        <v>125</v>
      </c>
      <c r="G22" s="98">
        <f>C22*8.5/100</f>
        <v>28.05</v>
      </c>
      <c r="H22" s="101" t="s">
        <v>126</v>
      </c>
      <c r="I22" s="69" t="s">
        <v>115</v>
      </c>
    </row>
    <row r="23" spans="1:11" ht="47.1" customHeight="1" x14ac:dyDescent="0.2">
      <c r="A23" s="205" t="s">
        <v>127</v>
      </c>
      <c r="B23" s="205"/>
      <c r="C23" s="99">
        <v>18000</v>
      </c>
      <c r="D23" s="97" t="s">
        <v>128</v>
      </c>
      <c r="E23" s="98">
        <f t="shared" si="1"/>
        <v>4284</v>
      </c>
      <c r="F23" s="97" t="s">
        <v>129</v>
      </c>
      <c r="G23" s="98">
        <f>C23*8.5/100</f>
        <v>1530</v>
      </c>
      <c r="H23" s="101" t="s">
        <v>130</v>
      </c>
      <c r="I23" s="69" t="s">
        <v>115</v>
      </c>
    </row>
    <row r="24" spans="1:11" ht="47.1" customHeight="1" x14ac:dyDescent="0.2">
      <c r="A24" s="205" t="s">
        <v>131</v>
      </c>
      <c r="B24" s="205"/>
      <c r="C24" s="99">
        <v>19400</v>
      </c>
      <c r="D24" s="97" t="s">
        <v>132</v>
      </c>
      <c r="E24" s="98">
        <f t="shared" si="1"/>
        <v>4617.2</v>
      </c>
      <c r="F24" s="97" t="s">
        <v>133</v>
      </c>
      <c r="G24" s="98">
        <f>C24*8.5/100</f>
        <v>1649</v>
      </c>
      <c r="H24" s="98" t="s">
        <v>134</v>
      </c>
      <c r="I24" s="69" t="s">
        <v>115</v>
      </c>
    </row>
    <row r="25" spans="1:11" ht="47.1" customHeight="1" x14ac:dyDescent="0.25">
      <c r="A25" s="87"/>
      <c r="B25" s="87"/>
      <c r="C25" s="102">
        <f>SUM(C12:C24)</f>
        <v>1070066.5899999999</v>
      </c>
      <c r="D25" s="97"/>
      <c r="E25" s="98"/>
      <c r="F25" s="97"/>
      <c r="G25" s="98"/>
      <c r="H25" s="98"/>
      <c r="I25" s="69"/>
    </row>
    <row r="26" spans="1:11" ht="47.1" customHeight="1" x14ac:dyDescent="0.2">
      <c r="A26" s="205" t="s">
        <v>135</v>
      </c>
      <c r="B26" s="205"/>
      <c r="C26" s="99">
        <v>1793.04</v>
      </c>
      <c r="D26" s="97" t="s">
        <v>136</v>
      </c>
      <c r="E26" s="98">
        <f>C26*23.8/100</f>
        <v>426.74351999999999</v>
      </c>
      <c r="F26" s="97" t="s">
        <v>137</v>
      </c>
      <c r="G26" s="98">
        <f>C26*8.5/100</f>
        <v>152.4084</v>
      </c>
      <c r="H26" s="98" t="s">
        <v>138</v>
      </c>
      <c r="I26" s="69" t="s">
        <v>115</v>
      </c>
    </row>
    <row r="27" spans="1:11" ht="47.1" customHeight="1" x14ac:dyDescent="0.2">
      <c r="A27" s="205"/>
      <c r="B27" s="205"/>
      <c r="C27" s="99">
        <v>1838.95</v>
      </c>
      <c r="D27" s="97" t="s">
        <v>139</v>
      </c>
      <c r="E27" s="98">
        <f>C27*23.8/100</f>
        <v>437.67010000000005</v>
      </c>
      <c r="F27" s="97" t="s">
        <v>140</v>
      </c>
      <c r="G27" s="98">
        <f>C27*8.5/100</f>
        <v>156.31075000000001</v>
      </c>
      <c r="H27" s="98" t="s">
        <v>141</v>
      </c>
      <c r="I27" s="69" t="s">
        <v>115</v>
      </c>
    </row>
    <row r="28" spans="1:11" ht="47.1" customHeight="1" x14ac:dyDescent="0.2">
      <c r="A28" s="205"/>
      <c r="B28" s="205"/>
      <c r="C28" s="99">
        <v>2409.91</v>
      </c>
      <c r="D28" s="97" t="s">
        <v>142</v>
      </c>
      <c r="E28" s="98">
        <f>C28*23.8/100</f>
        <v>573.55858000000001</v>
      </c>
      <c r="F28" s="97" t="s">
        <v>143</v>
      </c>
      <c r="G28" s="98">
        <f>C28*8.5/100-0.01</f>
        <v>204.83235000000002</v>
      </c>
      <c r="H28" s="98" t="s">
        <v>144</v>
      </c>
      <c r="I28" s="69" t="s">
        <v>115</v>
      </c>
    </row>
    <row r="29" spans="1:11" ht="47.1" customHeight="1" x14ac:dyDescent="0.2">
      <c r="A29" s="205"/>
      <c r="B29" s="205"/>
      <c r="C29" s="99">
        <v>3215.07</v>
      </c>
      <c r="D29" s="97" t="s">
        <v>145</v>
      </c>
      <c r="E29" s="98">
        <f>C29*23.8/100-0.01</f>
        <v>765.17666000000008</v>
      </c>
      <c r="F29" s="97" t="s">
        <v>146</v>
      </c>
      <c r="G29" s="98">
        <f t="shared" ref="G29:G36" si="2">C29*8.5/100</f>
        <v>273.28095000000002</v>
      </c>
      <c r="H29" s="98" t="s">
        <v>147</v>
      </c>
      <c r="I29" s="69" t="s">
        <v>115</v>
      </c>
    </row>
    <row r="30" spans="1:11" ht="47.1" customHeight="1" x14ac:dyDescent="0.2">
      <c r="A30" s="205"/>
      <c r="B30" s="205"/>
      <c r="C30" s="99">
        <v>5102.8599999999997</v>
      </c>
      <c r="D30" s="97" t="s">
        <v>148</v>
      </c>
      <c r="E30" s="98">
        <f t="shared" ref="E30:E36" si="3">C30*23.8/100</f>
        <v>1214.4806799999999</v>
      </c>
      <c r="F30" s="97" t="s">
        <v>149</v>
      </c>
      <c r="G30" s="98">
        <f t="shared" si="2"/>
        <v>433.74309999999997</v>
      </c>
      <c r="H30" s="98" t="s">
        <v>150</v>
      </c>
      <c r="I30" s="69" t="s">
        <v>115</v>
      </c>
    </row>
    <row r="31" spans="1:11" ht="47.1" customHeight="1" x14ac:dyDescent="0.2">
      <c r="A31" s="205"/>
      <c r="B31" s="205"/>
      <c r="C31" s="99">
        <v>929.19</v>
      </c>
      <c r="D31" s="97" t="s">
        <v>151</v>
      </c>
      <c r="E31" s="98">
        <f t="shared" si="3"/>
        <v>221.14722</v>
      </c>
      <c r="F31" s="97" t="s">
        <v>152</v>
      </c>
      <c r="G31" s="98">
        <f t="shared" si="2"/>
        <v>78.981150000000014</v>
      </c>
      <c r="H31" s="98" t="s">
        <v>153</v>
      </c>
      <c r="I31" s="69" t="s">
        <v>115</v>
      </c>
    </row>
    <row r="32" spans="1:11" ht="47.1" customHeight="1" x14ac:dyDescent="0.2">
      <c r="A32" s="205"/>
      <c r="B32" s="205"/>
      <c r="C32" s="99">
        <v>1291.1199999999999</v>
      </c>
      <c r="D32" s="97" t="s">
        <v>154</v>
      </c>
      <c r="E32" s="98">
        <f t="shared" si="3"/>
        <v>307.28656000000001</v>
      </c>
      <c r="F32" s="97" t="s">
        <v>155</v>
      </c>
      <c r="G32" s="98">
        <f t="shared" si="2"/>
        <v>109.74519999999998</v>
      </c>
      <c r="H32" s="98" t="s">
        <v>156</v>
      </c>
      <c r="I32" s="69" t="s">
        <v>115</v>
      </c>
    </row>
    <row r="33" spans="1:9" ht="47.1" customHeight="1" x14ac:dyDescent="0.2">
      <c r="A33" s="205"/>
      <c r="B33" s="205"/>
      <c r="C33" s="99">
        <v>1875</v>
      </c>
      <c r="D33" s="97" t="s">
        <v>157</v>
      </c>
      <c r="E33" s="98">
        <f t="shared" si="3"/>
        <v>446.25</v>
      </c>
      <c r="F33" s="97" t="s">
        <v>158</v>
      </c>
      <c r="G33" s="98">
        <f t="shared" si="2"/>
        <v>159.375</v>
      </c>
      <c r="H33" s="98" t="s">
        <v>159</v>
      </c>
      <c r="I33" s="69" t="s">
        <v>115</v>
      </c>
    </row>
    <row r="34" spans="1:9" ht="47.1" customHeight="1" x14ac:dyDescent="0.2">
      <c r="A34" s="205"/>
      <c r="B34" s="205"/>
      <c r="C34" s="99">
        <v>1227.45</v>
      </c>
      <c r="D34" s="97" t="s">
        <v>160</v>
      </c>
      <c r="E34" s="98">
        <f t="shared" si="3"/>
        <v>292.13310000000001</v>
      </c>
      <c r="F34" s="97" t="s">
        <v>161</v>
      </c>
      <c r="G34" s="98">
        <f t="shared" si="2"/>
        <v>104.33325000000001</v>
      </c>
      <c r="H34" s="98" t="s">
        <v>162</v>
      </c>
      <c r="I34" s="69" t="s">
        <v>115</v>
      </c>
    </row>
    <row r="35" spans="1:9" ht="47.1" customHeight="1" x14ac:dyDescent="0.2">
      <c r="A35" s="205"/>
      <c r="B35" s="205"/>
      <c r="C35" s="99">
        <v>1291.1199999999999</v>
      </c>
      <c r="D35" s="97" t="s">
        <v>163</v>
      </c>
      <c r="E35" s="98">
        <f t="shared" si="3"/>
        <v>307.28656000000001</v>
      </c>
      <c r="F35" s="97" t="s">
        <v>164</v>
      </c>
      <c r="G35" s="98">
        <f t="shared" si="2"/>
        <v>109.74519999999998</v>
      </c>
      <c r="H35" s="98" t="s">
        <v>165</v>
      </c>
      <c r="I35" s="69" t="s">
        <v>115</v>
      </c>
    </row>
    <row r="36" spans="1:9" ht="52.9" customHeight="1" x14ac:dyDescent="0.2">
      <c r="A36" s="205"/>
      <c r="B36" s="205"/>
      <c r="C36" s="99">
        <v>3227.86</v>
      </c>
      <c r="D36" s="97" t="s">
        <v>166</v>
      </c>
      <c r="E36" s="98">
        <f t="shared" si="3"/>
        <v>768.23068000000001</v>
      </c>
      <c r="F36" s="97" t="s">
        <v>167</v>
      </c>
      <c r="G36" s="98">
        <f t="shared" si="2"/>
        <v>274.36810000000003</v>
      </c>
      <c r="H36" s="98" t="s">
        <v>168</v>
      </c>
      <c r="I36" s="69" t="s">
        <v>115</v>
      </c>
    </row>
    <row r="37" spans="1:9" ht="52.9" customHeight="1" x14ac:dyDescent="0.25">
      <c r="A37" s="87"/>
      <c r="B37" s="87"/>
      <c r="C37" s="102">
        <f>SUM(C26:C36)</f>
        <v>24201.57</v>
      </c>
      <c r="D37" s="97"/>
      <c r="E37" s="98"/>
      <c r="F37" s="97"/>
      <c r="G37" s="98"/>
      <c r="H37" s="98"/>
      <c r="I37" s="69"/>
    </row>
    <row r="38" spans="1:9" ht="52.9" customHeight="1" x14ac:dyDescent="0.2">
      <c r="A38" s="205" t="s">
        <v>169</v>
      </c>
      <c r="B38" s="205"/>
      <c r="C38" s="103">
        <f>902.11-675.04</f>
        <v>227.07000000000005</v>
      </c>
      <c r="D38" s="104" t="s">
        <v>170</v>
      </c>
      <c r="E38" s="105">
        <f>C38*23.8/100</f>
        <v>54.042660000000012</v>
      </c>
      <c r="F38" s="106" t="s">
        <v>171</v>
      </c>
      <c r="G38" s="105">
        <f>C38*8.5/100</f>
        <v>19.300950000000004</v>
      </c>
      <c r="H38" s="106" t="s">
        <v>172</v>
      </c>
      <c r="I38" s="69" t="s">
        <v>115</v>
      </c>
    </row>
    <row r="39" spans="1:9" ht="52.9" customHeight="1" x14ac:dyDescent="0.2">
      <c r="A39" s="205"/>
      <c r="B39" s="205"/>
      <c r="C39" s="107">
        <f>20084.22-15028.94</f>
        <v>5055.2800000000007</v>
      </c>
      <c r="D39" s="108" t="s">
        <v>173</v>
      </c>
      <c r="E39" s="105">
        <f>C39*23.8/100</f>
        <v>1203.1566400000002</v>
      </c>
      <c r="F39" s="108" t="s">
        <v>174</v>
      </c>
      <c r="G39" s="105">
        <f>C39*8.5/100</f>
        <v>429.69880000000006</v>
      </c>
      <c r="H39" s="106" t="s">
        <v>175</v>
      </c>
      <c r="I39" s="69" t="s">
        <v>115</v>
      </c>
    </row>
    <row r="40" spans="1:9" ht="52.9" customHeight="1" x14ac:dyDescent="0.2">
      <c r="A40" s="205"/>
      <c r="B40" s="205"/>
      <c r="C40" s="105">
        <f>784.62-587.13</f>
        <v>197.49</v>
      </c>
      <c r="D40" s="108" t="s">
        <v>176</v>
      </c>
      <c r="E40" s="105">
        <f>C40*23.8/100</f>
        <v>47.002620000000007</v>
      </c>
      <c r="F40" s="108" t="s">
        <v>177</v>
      </c>
      <c r="G40" s="105">
        <f>C40*8.5/100</f>
        <v>16.786649999999998</v>
      </c>
      <c r="H40" s="106" t="s">
        <v>178</v>
      </c>
      <c r="I40" s="69" t="s">
        <v>115</v>
      </c>
    </row>
    <row r="41" spans="1:9" ht="52.9" customHeight="1" x14ac:dyDescent="0.2">
      <c r="A41" s="205"/>
      <c r="B41" s="205"/>
      <c r="C41" s="109">
        <f>45362.08-33944.53</f>
        <v>11417.550000000003</v>
      </c>
      <c r="D41" s="108" t="s">
        <v>179</v>
      </c>
      <c r="E41" s="105">
        <f>C41*23.8/100</f>
        <v>2717.3769000000007</v>
      </c>
      <c r="F41" s="108" t="s">
        <v>180</v>
      </c>
      <c r="G41" s="105">
        <f>C41*8.5/100</f>
        <v>970.49175000000014</v>
      </c>
      <c r="H41" s="106" t="s">
        <v>181</v>
      </c>
      <c r="I41" s="69" t="s">
        <v>115</v>
      </c>
    </row>
    <row r="42" spans="1:9" ht="52.9" customHeight="1" x14ac:dyDescent="0.2">
      <c r="A42" s="205"/>
      <c r="B42" s="205"/>
      <c r="C42" s="110">
        <f>3605.87-2698.26</f>
        <v>907.60999999999967</v>
      </c>
      <c r="D42" s="111" t="s">
        <v>182</v>
      </c>
      <c r="E42" s="105">
        <f>C42*23.8/100</f>
        <v>216.01117999999991</v>
      </c>
      <c r="F42" s="104" t="s">
        <v>183</v>
      </c>
      <c r="G42" s="105">
        <f>C42*8.5/100</f>
        <v>77.146849999999972</v>
      </c>
      <c r="H42" s="104" t="s">
        <v>184</v>
      </c>
      <c r="I42" s="69" t="s">
        <v>115</v>
      </c>
    </row>
    <row r="43" spans="1:9" ht="52.9" customHeight="1" x14ac:dyDescent="0.2">
      <c r="A43" s="205"/>
      <c r="B43" s="205"/>
      <c r="C43" s="112"/>
      <c r="D43" s="104" t="s">
        <v>185</v>
      </c>
      <c r="E43" s="105"/>
      <c r="F43" s="104">
        <v>5140</v>
      </c>
      <c r="G43" s="105"/>
      <c r="H43" s="104" t="s">
        <v>186</v>
      </c>
      <c r="I43" s="69" t="s">
        <v>115</v>
      </c>
    </row>
    <row r="44" spans="1:9" ht="52.9" customHeight="1" x14ac:dyDescent="0.2">
      <c r="A44" s="205"/>
      <c r="B44" s="205"/>
      <c r="C44" s="103"/>
      <c r="D44" s="104" t="s">
        <v>187</v>
      </c>
      <c r="E44" s="105"/>
      <c r="F44" s="104">
        <v>6320</v>
      </c>
      <c r="G44" s="105"/>
      <c r="H44" s="104" t="s">
        <v>188</v>
      </c>
      <c r="I44" s="69" t="s">
        <v>115</v>
      </c>
    </row>
    <row r="45" spans="1:9" ht="25.35" customHeight="1" x14ac:dyDescent="0.2">
      <c r="A45" s="87"/>
      <c r="B45" s="87"/>
      <c r="C45" s="103">
        <v>1131.4000000000001</v>
      </c>
      <c r="D45" s="113" t="s">
        <v>189</v>
      </c>
      <c r="E45" s="105">
        <f>C45*23.8/100</f>
        <v>269.27320000000003</v>
      </c>
      <c r="F45" s="113" t="s">
        <v>190</v>
      </c>
      <c r="G45" s="105">
        <f>C45*8.5/100</f>
        <v>96.169000000000011</v>
      </c>
      <c r="H45" s="113" t="s">
        <v>191</v>
      </c>
      <c r="I45" s="91" t="s">
        <v>192</v>
      </c>
    </row>
    <row r="46" spans="1:9" ht="44.85" customHeight="1" x14ac:dyDescent="0.2">
      <c r="A46" s="87"/>
      <c r="B46" s="87"/>
      <c r="C46" s="103">
        <v>1264.23</v>
      </c>
      <c r="D46" s="113" t="s">
        <v>193</v>
      </c>
      <c r="E46" s="105">
        <f>C46*23.8/100</f>
        <v>300.88674000000003</v>
      </c>
      <c r="F46" s="113" t="s">
        <v>194</v>
      </c>
      <c r="G46" s="105">
        <f>C46*8.5/100</f>
        <v>107.45954999999999</v>
      </c>
      <c r="H46" s="113" t="s">
        <v>195</v>
      </c>
      <c r="I46" s="91" t="s">
        <v>196</v>
      </c>
    </row>
    <row r="47" spans="1:9" ht="59.65" customHeight="1" x14ac:dyDescent="0.2">
      <c r="A47" s="87"/>
      <c r="B47" s="87"/>
      <c r="C47" s="103">
        <v>590.41999999999996</v>
      </c>
      <c r="D47" s="113" t="s">
        <v>197</v>
      </c>
      <c r="E47" s="105">
        <f>C47*23.8/100</f>
        <v>140.51996</v>
      </c>
      <c r="F47" s="113" t="s">
        <v>198</v>
      </c>
      <c r="G47" s="105">
        <f>C47*8.5/100</f>
        <v>50.185699999999997</v>
      </c>
      <c r="H47" s="113" t="s">
        <v>199</v>
      </c>
      <c r="I47" s="91" t="s">
        <v>200</v>
      </c>
    </row>
    <row r="48" spans="1:9" ht="32.1" customHeight="1" x14ac:dyDescent="0.2">
      <c r="A48" s="114"/>
      <c r="B48" s="114"/>
      <c r="C48" s="103">
        <f>2348.08-1757.06</f>
        <v>591.02</v>
      </c>
      <c r="D48" s="104" t="s">
        <v>201</v>
      </c>
      <c r="E48" s="105">
        <f>C48*23.8/100</f>
        <v>140.66275999999999</v>
      </c>
      <c r="F48" s="104" t="s">
        <v>202</v>
      </c>
      <c r="G48" s="105">
        <f>C48*8.5/100</f>
        <v>50.236699999999999</v>
      </c>
      <c r="H48" s="104" t="s">
        <v>203</v>
      </c>
      <c r="I48" s="69" t="s">
        <v>115</v>
      </c>
    </row>
    <row r="49" spans="1:10" ht="32.1" customHeight="1" x14ac:dyDescent="0.25">
      <c r="A49" s="114"/>
      <c r="B49" s="114"/>
      <c r="C49" s="115">
        <f>SUM(C38:C48)</f>
        <v>21382.070000000003</v>
      </c>
      <c r="D49" s="104"/>
      <c r="E49" s="105"/>
      <c r="F49" s="104"/>
      <c r="G49" s="105"/>
      <c r="H49" s="104"/>
      <c r="I49" s="69"/>
    </row>
    <row r="50" spans="1:10" ht="32.1" customHeight="1" x14ac:dyDescent="0.2">
      <c r="A50" s="203" t="s">
        <v>204</v>
      </c>
      <c r="B50" s="203"/>
      <c r="C50" s="203"/>
      <c r="D50" s="203"/>
      <c r="E50" s="203"/>
      <c r="F50" s="203"/>
      <c r="G50" s="203"/>
      <c r="H50" s="203"/>
      <c r="I50" s="203"/>
      <c r="J50" s="116">
        <f>C25+C37+C49</f>
        <v>1115650.23</v>
      </c>
    </row>
    <row r="51" spans="1:10" ht="32.1" customHeight="1" x14ac:dyDescent="0.2">
      <c r="A51" s="203"/>
      <c r="B51" s="203"/>
      <c r="C51" s="203"/>
      <c r="D51" s="203"/>
      <c r="E51" s="203"/>
      <c r="F51" s="203"/>
      <c r="G51" s="203"/>
      <c r="H51" s="203"/>
      <c r="I51" s="203"/>
    </row>
    <row r="52" spans="1:10" ht="32.1" customHeight="1" x14ac:dyDescent="0.25">
      <c r="A52" s="77"/>
      <c r="B52" s="77"/>
      <c r="C52" s="81"/>
      <c r="D52" s="77"/>
      <c r="E52" s="77"/>
      <c r="F52" s="77"/>
      <c r="G52" s="77"/>
      <c r="H52" s="77"/>
      <c r="I52" s="82"/>
    </row>
    <row r="53" spans="1:10" ht="32.1" customHeight="1" x14ac:dyDescent="0.2">
      <c r="A53" s="204"/>
      <c r="B53" s="204"/>
      <c r="C53" s="83" t="s">
        <v>93</v>
      </c>
      <c r="D53" s="84" t="s">
        <v>94</v>
      </c>
      <c r="E53" s="84" t="s">
        <v>95</v>
      </c>
      <c r="F53" s="84" t="s">
        <v>94</v>
      </c>
      <c r="G53" s="84" t="s">
        <v>96</v>
      </c>
      <c r="H53" s="84" t="s">
        <v>94</v>
      </c>
      <c r="I53" s="84"/>
    </row>
    <row r="54" spans="1:10" ht="32.1" customHeight="1" x14ac:dyDescent="0.2">
      <c r="A54" s="204"/>
      <c r="B54" s="204"/>
      <c r="C54" s="85"/>
      <c r="D54" s="85"/>
      <c r="E54" s="85"/>
      <c r="F54" s="85"/>
      <c r="G54" s="86"/>
      <c r="H54" s="84"/>
      <c r="I54" s="84"/>
    </row>
    <row r="55" spans="1:10" ht="32.1" customHeight="1" x14ac:dyDescent="0.2">
      <c r="A55" s="205" t="s">
        <v>205</v>
      </c>
      <c r="B55" s="205" t="s">
        <v>206</v>
      </c>
      <c r="C55" s="85">
        <v>33878.58</v>
      </c>
      <c r="D55" s="117" t="s">
        <v>207</v>
      </c>
      <c r="E55" s="89">
        <f t="shared" ref="E55:E60" si="4">C55*23.8/100</f>
        <v>8063.1020400000007</v>
      </c>
      <c r="F55" s="117" t="s">
        <v>208</v>
      </c>
      <c r="G55" s="89">
        <f>C55*8.8/100</f>
        <v>2981.31504</v>
      </c>
      <c r="H55" s="90" t="s">
        <v>209</v>
      </c>
      <c r="I55" s="69" t="s">
        <v>115</v>
      </c>
    </row>
    <row r="56" spans="1:10" ht="32.1" customHeight="1" x14ac:dyDescent="0.2">
      <c r="A56" s="205"/>
      <c r="B56" s="205"/>
      <c r="C56" s="85">
        <v>3914.31</v>
      </c>
      <c r="D56" s="117" t="s">
        <v>210</v>
      </c>
      <c r="E56" s="89">
        <f t="shared" si="4"/>
        <v>931.6057800000001</v>
      </c>
      <c r="F56" s="117" t="s">
        <v>210</v>
      </c>
      <c r="G56" s="89">
        <f>C56*8.8/100</f>
        <v>344.45927999999998</v>
      </c>
      <c r="H56" s="90" t="s">
        <v>210</v>
      </c>
      <c r="I56" s="69" t="s">
        <v>211</v>
      </c>
    </row>
    <row r="57" spans="1:10" ht="32.1" customHeight="1" x14ac:dyDescent="0.2">
      <c r="A57" s="205"/>
      <c r="B57" s="87" t="s">
        <v>212</v>
      </c>
      <c r="C57" s="85">
        <v>1000</v>
      </c>
      <c r="D57" s="117" t="s">
        <v>213</v>
      </c>
      <c r="E57" s="89">
        <f t="shared" si="4"/>
        <v>238</v>
      </c>
      <c r="F57" s="117" t="s">
        <v>214</v>
      </c>
      <c r="G57" s="89">
        <f>C57*8.8/100</f>
        <v>88</v>
      </c>
      <c r="H57" s="90" t="s">
        <v>215</v>
      </c>
      <c r="I57" s="69" t="s">
        <v>115</v>
      </c>
    </row>
    <row r="58" spans="1:10" ht="32.1" customHeight="1" x14ac:dyDescent="0.2">
      <c r="A58" s="205" t="s">
        <v>216</v>
      </c>
      <c r="B58" s="205"/>
      <c r="C58" s="85">
        <v>5000</v>
      </c>
      <c r="D58" s="117" t="s">
        <v>217</v>
      </c>
      <c r="E58" s="89">
        <f t="shared" si="4"/>
        <v>1190</v>
      </c>
      <c r="F58" s="117" t="s">
        <v>218</v>
      </c>
      <c r="G58" s="89">
        <f>C58*8.8/100</f>
        <v>440</v>
      </c>
      <c r="H58" s="92" t="s">
        <v>219</v>
      </c>
      <c r="I58" s="69" t="s">
        <v>115</v>
      </c>
    </row>
    <row r="59" spans="1:10" ht="32.1" customHeight="1" x14ac:dyDescent="0.2">
      <c r="A59" s="205" t="s">
        <v>220</v>
      </c>
      <c r="B59" s="205"/>
      <c r="C59" s="85">
        <v>2805.35</v>
      </c>
      <c r="D59" s="117" t="s">
        <v>221</v>
      </c>
      <c r="E59" s="98">
        <f t="shared" si="4"/>
        <v>667.67330000000004</v>
      </c>
      <c r="F59" s="97" t="s">
        <v>222</v>
      </c>
      <c r="G59" s="98">
        <f>C59*8.5/100</f>
        <v>238.45474999999999</v>
      </c>
      <c r="H59" s="98" t="s">
        <v>223</v>
      </c>
      <c r="I59" s="69" t="s">
        <v>115</v>
      </c>
    </row>
    <row r="60" spans="1:10" ht="32.1" customHeight="1" x14ac:dyDescent="0.2">
      <c r="A60" s="205"/>
      <c r="B60" s="205"/>
      <c r="C60" s="85">
        <v>1694.65</v>
      </c>
      <c r="D60" s="117" t="s">
        <v>224</v>
      </c>
      <c r="E60" s="98">
        <f t="shared" si="4"/>
        <v>403.32670000000007</v>
      </c>
      <c r="F60" s="97" t="s">
        <v>225</v>
      </c>
      <c r="G60" s="98">
        <f>C60*8.5/100</f>
        <v>144.04525000000001</v>
      </c>
      <c r="H60" s="98" t="s">
        <v>226</v>
      </c>
      <c r="I60" s="69" t="s">
        <v>115</v>
      </c>
    </row>
    <row r="61" spans="1:10" ht="32.1" customHeight="1" x14ac:dyDescent="0.25">
      <c r="A61" s="87"/>
      <c r="B61" s="87"/>
      <c r="C61" s="118">
        <f>SUM(C55:C60)</f>
        <v>48292.89</v>
      </c>
      <c r="D61" s="117"/>
      <c r="E61" s="98"/>
      <c r="F61" s="97"/>
      <c r="G61" s="98"/>
      <c r="H61" s="98"/>
      <c r="I61" s="69" t="s">
        <v>115</v>
      </c>
    </row>
    <row r="62" spans="1:10" ht="32.1" customHeight="1" x14ac:dyDescent="0.2">
      <c r="A62" s="205" t="s">
        <v>227</v>
      </c>
      <c r="B62" s="205"/>
      <c r="C62" s="90">
        <v>29280.54</v>
      </c>
      <c r="D62" s="117" t="s">
        <v>228</v>
      </c>
      <c r="E62" s="98">
        <f>C62*23.8/100</f>
        <v>6968.7685200000005</v>
      </c>
      <c r="F62" s="117" t="s">
        <v>229</v>
      </c>
      <c r="G62" s="98">
        <f>C62*8.5/100</f>
        <v>2488.8458999999998</v>
      </c>
      <c r="H62" s="90" t="s">
        <v>230</v>
      </c>
      <c r="I62" s="69" t="s">
        <v>115</v>
      </c>
    </row>
    <row r="63" spans="1:10" ht="32.1" customHeight="1" x14ac:dyDescent="0.2">
      <c r="A63" s="205" t="s">
        <v>231</v>
      </c>
      <c r="B63" s="205"/>
      <c r="C63" s="119">
        <v>38719.46</v>
      </c>
      <c r="D63" s="117" t="s">
        <v>232</v>
      </c>
      <c r="E63" s="98">
        <f>C63*23.8/100</f>
        <v>9215.2314800000004</v>
      </c>
      <c r="F63" s="117" t="s">
        <v>233</v>
      </c>
      <c r="G63" s="98">
        <f>C63*8.5/100</f>
        <v>3291.1540999999997</v>
      </c>
      <c r="H63" s="98" t="s">
        <v>234</v>
      </c>
      <c r="I63" s="69" t="s">
        <v>115</v>
      </c>
    </row>
    <row r="64" spans="1:10" ht="32.1" customHeight="1" x14ac:dyDescent="0.2">
      <c r="A64" s="205"/>
      <c r="B64" s="205"/>
      <c r="C64" s="119">
        <v>24310.45</v>
      </c>
      <c r="D64" s="117" t="s">
        <v>235</v>
      </c>
      <c r="E64" s="98">
        <f>C64*23.8/100-0.01</f>
        <v>5785.8771000000006</v>
      </c>
      <c r="F64" s="117" t="s">
        <v>236</v>
      </c>
      <c r="G64" s="98">
        <f>C64*8.5/100-0.01</f>
        <v>2066.3782499999998</v>
      </c>
      <c r="H64" s="98" t="s">
        <v>237</v>
      </c>
      <c r="I64" s="69" t="s">
        <v>115</v>
      </c>
    </row>
    <row r="65" spans="1:9" ht="32.1" customHeight="1" x14ac:dyDescent="0.2">
      <c r="A65" s="205"/>
      <c r="B65" s="205"/>
      <c r="C65" s="119">
        <v>15538.61</v>
      </c>
      <c r="D65" s="117" t="s">
        <v>238</v>
      </c>
      <c r="E65" s="98">
        <f>C65*23.8/100-0.01</f>
        <v>3698.1791799999996</v>
      </c>
      <c r="F65" s="117" t="s">
        <v>239</v>
      </c>
      <c r="G65" s="98">
        <f>C65*8.5/100</f>
        <v>1320.7818500000001</v>
      </c>
      <c r="H65" s="98" t="s">
        <v>240</v>
      </c>
      <c r="I65" s="69" t="s">
        <v>115</v>
      </c>
    </row>
    <row r="66" spans="1:9" ht="32.1" customHeight="1" x14ac:dyDescent="0.2">
      <c r="A66" s="205"/>
      <c r="B66" s="205"/>
      <c r="C66" s="119">
        <f>9000+3296.21</f>
        <v>12296.21</v>
      </c>
      <c r="D66" s="117" t="s">
        <v>241</v>
      </c>
      <c r="E66" s="98">
        <f>C66*23.8/100</f>
        <v>2926.4979800000001</v>
      </c>
      <c r="F66" s="117" t="s">
        <v>242</v>
      </c>
      <c r="G66" s="98">
        <f>C66*8.5/100</f>
        <v>1045.1778499999998</v>
      </c>
      <c r="H66" s="98" t="s">
        <v>243</v>
      </c>
      <c r="I66" s="69" t="s">
        <v>115</v>
      </c>
    </row>
    <row r="67" spans="1:9" ht="32.1" customHeight="1" x14ac:dyDescent="0.2">
      <c r="A67" s="205"/>
      <c r="B67" s="205"/>
      <c r="C67" s="119">
        <v>26540.84</v>
      </c>
      <c r="D67" s="117" t="s">
        <v>244</v>
      </c>
      <c r="E67" s="98">
        <f>C67*23.8/100-0.01</f>
        <v>6316.7099199999993</v>
      </c>
      <c r="F67" s="117" t="s">
        <v>245</v>
      </c>
      <c r="G67" s="98">
        <f>C67*8.5/100</f>
        <v>2255.9714000000004</v>
      </c>
      <c r="H67" s="120" t="s">
        <v>246</v>
      </c>
      <c r="I67" s="69" t="s">
        <v>115</v>
      </c>
    </row>
    <row r="68" spans="1:9" ht="32.1" customHeight="1" x14ac:dyDescent="0.2">
      <c r="A68" s="205"/>
      <c r="B68" s="205"/>
      <c r="C68" s="119">
        <f>9070.28+5107.83</f>
        <v>14178.11</v>
      </c>
      <c r="D68" s="117" t="s">
        <v>247</v>
      </c>
      <c r="E68" s="98">
        <f>C68*23.8/100</f>
        <v>3374.3901800000003</v>
      </c>
      <c r="F68" s="117" t="s">
        <v>248</v>
      </c>
      <c r="G68" s="98">
        <f>C68*8.5/100</f>
        <v>1205.1393499999999</v>
      </c>
      <c r="H68" s="121" t="s">
        <v>249</v>
      </c>
      <c r="I68" s="69" t="s">
        <v>115</v>
      </c>
    </row>
    <row r="69" spans="1:9" ht="32.1" customHeight="1" x14ac:dyDescent="0.2">
      <c r="A69" s="205"/>
      <c r="B69" s="205"/>
      <c r="C69" s="122">
        <v>3794.92</v>
      </c>
      <c r="D69" s="123" t="s">
        <v>250</v>
      </c>
      <c r="E69" s="124">
        <v>903.19</v>
      </c>
      <c r="F69" s="123" t="s">
        <v>251</v>
      </c>
      <c r="G69" s="124">
        <v>322.56</v>
      </c>
      <c r="H69" s="125" t="s">
        <v>252</v>
      </c>
      <c r="I69" s="69" t="s">
        <v>115</v>
      </c>
    </row>
    <row r="70" spans="1:9" ht="32.1" customHeight="1" x14ac:dyDescent="0.2">
      <c r="A70" s="205"/>
      <c r="B70" s="205"/>
      <c r="C70" s="122">
        <v>8965.9599999999991</v>
      </c>
      <c r="D70" s="123" t="s">
        <v>253</v>
      </c>
      <c r="E70" s="124">
        <v>2133.89</v>
      </c>
      <c r="F70" s="123" t="s">
        <v>254</v>
      </c>
      <c r="G70" s="124">
        <f>C70*8.5/100-0.01</f>
        <v>762.09659999999985</v>
      </c>
      <c r="H70" s="124" t="s">
        <v>255</v>
      </c>
      <c r="I70" s="69" t="s">
        <v>115</v>
      </c>
    </row>
    <row r="71" spans="1:9" ht="32.1" customHeight="1" x14ac:dyDescent="0.2">
      <c r="A71" s="205"/>
      <c r="B71" s="205"/>
      <c r="C71" s="122">
        <v>2653.81</v>
      </c>
      <c r="D71" s="123" t="s">
        <v>256</v>
      </c>
      <c r="E71" s="124">
        <v>631.60677999999996</v>
      </c>
      <c r="F71" s="123" t="s">
        <v>257</v>
      </c>
      <c r="G71" s="124">
        <v>225.57384999999999</v>
      </c>
      <c r="H71" s="126" t="s">
        <v>258</v>
      </c>
      <c r="I71" s="69" t="s">
        <v>115</v>
      </c>
    </row>
    <row r="72" spans="1:9" ht="32.1" customHeight="1" x14ac:dyDescent="0.2">
      <c r="A72" s="205"/>
      <c r="B72" s="205"/>
      <c r="C72" s="122">
        <v>17556</v>
      </c>
      <c r="D72" s="123" t="s">
        <v>259</v>
      </c>
      <c r="E72" s="124">
        <v>4178.32</v>
      </c>
      <c r="F72" s="123" t="s">
        <v>260</v>
      </c>
      <c r="G72" s="124">
        <v>1492.26</v>
      </c>
      <c r="H72" s="126" t="s">
        <v>261</v>
      </c>
      <c r="I72" s="69" t="s">
        <v>115</v>
      </c>
    </row>
    <row r="73" spans="1:9" ht="32.1" customHeight="1" x14ac:dyDescent="0.2">
      <c r="A73" s="205"/>
      <c r="B73" s="205"/>
      <c r="C73" s="122">
        <v>3219.48</v>
      </c>
      <c r="D73" s="123" t="s">
        <v>262</v>
      </c>
      <c r="E73" s="124">
        <v>766.23</v>
      </c>
      <c r="F73" s="123" t="s">
        <v>263</v>
      </c>
      <c r="G73" s="124">
        <v>273.64999999999998</v>
      </c>
      <c r="H73" s="126" t="s">
        <v>264</v>
      </c>
      <c r="I73" s="69" t="s">
        <v>115</v>
      </c>
    </row>
    <row r="74" spans="1:9" ht="32.1" customHeight="1" x14ac:dyDescent="0.2">
      <c r="A74" s="205"/>
      <c r="B74" s="205"/>
      <c r="C74" s="122">
        <v>2095.7600000000002</v>
      </c>
      <c r="D74" s="123" t="s">
        <v>265</v>
      </c>
      <c r="E74" s="124">
        <v>498.79</v>
      </c>
      <c r="F74" s="123" t="s">
        <v>266</v>
      </c>
      <c r="G74" s="124">
        <v>178.13</v>
      </c>
      <c r="H74" s="126" t="s">
        <v>267</v>
      </c>
      <c r="I74" s="69" t="s">
        <v>115</v>
      </c>
    </row>
    <row r="75" spans="1:9" ht="32.1" customHeight="1" x14ac:dyDescent="0.2">
      <c r="A75" s="205"/>
      <c r="B75" s="205"/>
      <c r="C75" s="122">
        <v>3778.85</v>
      </c>
      <c r="D75" s="123" t="s">
        <v>268</v>
      </c>
      <c r="E75" s="124">
        <f>C75*23.8/100</f>
        <v>899.36630000000002</v>
      </c>
      <c r="F75" s="123" t="s">
        <v>269</v>
      </c>
      <c r="G75" s="124">
        <f>C75*8.5/100</f>
        <v>321.20224999999999</v>
      </c>
      <c r="H75" s="126" t="s">
        <v>270</v>
      </c>
      <c r="I75" s="69"/>
    </row>
    <row r="76" spans="1:9" ht="32.1" customHeight="1" x14ac:dyDescent="0.25">
      <c r="A76" s="205"/>
      <c r="B76" s="205"/>
      <c r="C76" s="102">
        <f>SUM(C62:C75)</f>
        <v>202929</v>
      </c>
      <c r="D76" s="117"/>
      <c r="E76" s="102">
        <f>SUM(E62:E74)</f>
        <v>47397.681140000008</v>
      </c>
      <c r="F76" s="117"/>
      <c r="G76" s="102">
        <f>SUM(G62:G74)</f>
        <v>16927.719150000001</v>
      </c>
      <c r="H76" s="98" t="s">
        <v>271</v>
      </c>
      <c r="I76" s="69"/>
    </row>
    <row r="77" spans="1:9" ht="32.1" customHeight="1" x14ac:dyDescent="0.2">
      <c r="A77" s="205"/>
      <c r="B77" s="205"/>
      <c r="C77" s="99"/>
      <c r="D77" s="117"/>
      <c r="E77" s="98"/>
      <c r="F77" s="117"/>
      <c r="G77" s="98"/>
      <c r="H77" s="98"/>
      <c r="I77" s="69"/>
    </row>
    <row r="78" spans="1:9" ht="32.1" customHeight="1" x14ac:dyDescent="0.2">
      <c r="A78" s="205"/>
      <c r="B78" s="205"/>
      <c r="C78" s="99"/>
      <c r="D78" s="117"/>
      <c r="E78" s="98"/>
      <c r="F78" s="117"/>
      <c r="G78" s="98"/>
      <c r="H78" s="98"/>
      <c r="I78" s="69"/>
    </row>
    <row r="79" spans="1:9" ht="32.1" customHeight="1" x14ac:dyDescent="0.2">
      <c r="A79" s="114"/>
      <c r="B79" s="114"/>
      <c r="C79" s="127"/>
      <c r="D79" s="128"/>
      <c r="E79" s="127"/>
      <c r="F79" s="128"/>
      <c r="G79" s="127"/>
      <c r="H79" s="129"/>
      <c r="I79" s="129"/>
    </row>
    <row r="82" spans="1:8" ht="15" x14ac:dyDescent="0.2">
      <c r="A82" s="130" t="s">
        <v>272</v>
      </c>
      <c r="B82" s="131"/>
      <c r="C82" s="132"/>
      <c r="D82" s="131"/>
      <c r="E82" s="132"/>
      <c r="F82" s="131"/>
      <c r="G82" s="132"/>
    </row>
    <row r="83" spans="1:8" ht="15" x14ac:dyDescent="0.2">
      <c r="A83" s="133" t="s">
        <v>273</v>
      </c>
      <c r="B83" s="133" t="s">
        <v>94</v>
      </c>
      <c r="C83" s="133" t="s">
        <v>95</v>
      </c>
      <c r="D83" s="133" t="s">
        <v>94</v>
      </c>
      <c r="E83" s="133" t="s">
        <v>96</v>
      </c>
      <c r="F83" s="133" t="s">
        <v>94</v>
      </c>
      <c r="G83" s="134"/>
    </row>
    <row r="84" spans="1:8" ht="15" x14ac:dyDescent="0.2">
      <c r="A84" s="135">
        <f>2640/12*3*2+660</f>
        <v>1980</v>
      </c>
      <c r="B84" s="106" t="s">
        <v>274</v>
      </c>
      <c r="C84" s="135">
        <f>A84*23.8/100</f>
        <v>471.24</v>
      </c>
      <c r="D84" s="108">
        <v>210</v>
      </c>
      <c r="E84" s="135">
        <f>A84*8.5/100</f>
        <v>168.3</v>
      </c>
      <c r="F84" s="106" t="s">
        <v>275</v>
      </c>
      <c r="G84" s="134" t="s">
        <v>276</v>
      </c>
      <c r="H84" s="70">
        <v>1980</v>
      </c>
    </row>
    <row r="85" spans="1:8" ht="15" x14ac:dyDescent="0.2">
      <c r="A85" s="136">
        <f>2700.17/12*3*2+675.04</f>
        <v>2025.125</v>
      </c>
      <c r="B85" s="104" t="s">
        <v>274</v>
      </c>
      <c r="C85" s="137">
        <f>A85*23.8/100</f>
        <v>481.97974999999997</v>
      </c>
      <c r="D85" s="108">
        <v>210</v>
      </c>
      <c r="E85" s="137">
        <f>A85*8.5/100</f>
        <v>172.135625</v>
      </c>
      <c r="F85" s="106" t="s">
        <v>275</v>
      </c>
      <c r="G85" s="134" t="s">
        <v>277</v>
      </c>
    </row>
    <row r="86" spans="1:8" ht="15.75" x14ac:dyDescent="0.25">
      <c r="A86" s="138"/>
      <c r="B86" s="139"/>
      <c r="C86" s="140"/>
      <c r="D86" s="141"/>
      <c r="E86" s="140"/>
      <c r="F86" s="142"/>
      <c r="G86" s="134"/>
    </row>
    <row r="87" spans="1:8" ht="15" x14ac:dyDescent="0.2">
      <c r="A87" s="137">
        <f>330/12*3*2+82.5</f>
        <v>247.5</v>
      </c>
      <c r="B87" s="106" t="s">
        <v>278</v>
      </c>
      <c r="C87" s="137">
        <f>A87*23.8/100</f>
        <v>58.905000000000001</v>
      </c>
      <c r="D87" s="108" t="s">
        <v>279</v>
      </c>
      <c r="E87" s="137">
        <f>A87*8.5/100</f>
        <v>21.037500000000001</v>
      </c>
      <c r="F87" s="106" t="s">
        <v>280</v>
      </c>
      <c r="G87" s="134" t="s">
        <v>281</v>
      </c>
      <c r="H87" s="70">
        <v>247.5</v>
      </c>
    </row>
    <row r="88" spans="1:8" ht="15.75" x14ac:dyDescent="0.25">
      <c r="A88" s="143"/>
      <c r="B88" s="104"/>
      <c r="C88" s="143"/>
      <c r="D88" s="111"/>
      <c r="E88" s="143"/>
      <c r="F88" s="104"/>
      <c r="G88" s="134"/>
    </row>
    <row r="89" spans="1:8" ht="15" x14ac:dyDescent="0.2">
      <c r="A89" s="137">
        <f>775/12*3*2+193.75</f>
        <v>581.25</v>
      </c>
      <c r="B89" s="144" t="s">
        <v>282</v>
      </c>
      <c r="C89" s="137">
        <f>A89*23.8/100</f>
        <v>138.33750000000001</v>
      </c>
      <c r="D89" s="145" t="s">
        <v>283</v>
      </c>
      <c r="E89" s="137">
        <f>A89*8.5/100</f>
        <v>49.40625</v>
      </c>
      <c r="F89" s="144" t="s">
        <v>284</v>
      </c>
      <c r="G89" s="146" t="s">
        <v>285</v>
      </c>
      <c r="H89" s="70">
        <v>581.25</v>
      </c>
    </row>
    <row r="90" spans="1:8" ht="15.75" x14ac:dyDescent="0.25">
      <c r="A90" s="147"/>
      <c r="B90" s="104"/>
      <c r="C90" s="147"/>
      <c r="D90" s="111"/>
      <c r="E90" s="147"/>
      <c r="F90" s="104"/>
      <c r="G90" s="134"/>
    </row>
    <row r="91" spans="1:8" ht="15" x14ac:dyDescent="0.2">
      <c r="A91" s="148">
        <f>60115.76/12*3*2+15028.94</f>
        <v>45086.82</v>
      </c>
      <c r="B91" s="108">
        <v>760</v>
      </c>
      <c r="C91" s="137">
        <v>10730.67</v>
      </c>
      <c r="D91" s="108">
        <v>740</v>
      </c>
      <c r="E91" s="137">
        <f>A91*8.5/100</f>
        <v>3832.3796999999995</v>
      </c>
      <c r="F91" s="106" t="s">
        <v>286</v>
      </c>
      <c r="G91" s="134" t="s">
        <v>287</v>
      </c>
    </row>
    <row r="92" spans="1:8" ht="15" x14ac:dyDescent="0.2">
      <c r="A92" s="136">
        <f>3960/12*3*2+990</f>
        <v>2970</v>
      </c>
      <c r="B92" s="108">
        <v>760</v>
      </c>
      <c r="C92" s="137">
        <f>A92*23.8/100</f>
        <v>706.86</v>
      </c>
      <c r="D92" s="108">
        <v>740</v>
      </c>
      <c r="E92" s="137">
        <f>A92*8.5/100</f>
        <v>252.45</v>
      </c>
      <c r="F92" s="106" t="s">
        <v>286</v>
      </c>
      <c r="G92" s="134" t="s">
        <v>288</v>
      </c>
      <c r="H92" s="70">
        <v>2970</v>
      </c>
    </row>
    <row r="93" spans="1:8" ht="15.75" x14ac:dyDescent="0.25">
      <c r="A93" s="149"/>
      <c r="B93" s="139"/>
      <c r="C93" s="140"/>
      <c r="D93" s="141"/>
      <c r="E93" s="140"/>
      <c r="F93" s="139"/>
      <c r="G93" s="150"/>
    </row>
    <row r="94" spans="1:8" ht="15" x14ac:dyDescent="0.2">
      <c r="A94" s="137">
        <f>2348.52/12*3*2+587.13</f>
        <v>1761.3899999999999</v>
      </c>
      <c r="B94" s="108">
        <v>930</v>
      </c>
      <c r="C94" s="137">
        <f>A94*23.8/100</f>
        <v>419.21081999999996</v>
      </c>
      <c r="D94" s="108">
        <v>910</v>
      </c>
      <c r="E94" s="137">
        <f>A94*8.5/100</f>
        <v>149.71814999999998</v>
      </c>
      <c r="F94" s="106" t="s">
        <v>255</v>
      </c>
      <c r="G94" s="134" t="s">
        <v>289</v>
      </c>
    </row>
    <row r="95" spans="1:8" ht="15" x14ac:dyDescent="0.2">
      <c r="A95" s="151">
        <f>1395/12*3*2+348.75</f>
        <v>1046.25</v>
      </c>
      <c r="B95" s="108">
        <v>930</v>
      </c>
      <c r="C95" s="137">
        <f>A95*23.8/100</f>
        <v>249.00749999999999</v>
      </c>
      <c r="D95" s="108">
        <v>910</v>
      </c>
      <c r="E95" s="137">
        <f>A95*8.5/100</f>
        <v>88.931250000000006</v>
      </c>
      <c r="F95" s="106" t="s">
        <v>255</v>
      </c>
      <c r="G95" s="134" t="s">
        <v>290</v>
      </c>
      <c r="H95" s="70">
        <v>1046.25</v>
      </c>
    </row>
    <row r="96" spans="1:8" ht="15.75" x14ac:dyDescent="0.2">
      <c r="A96" s="206"/>
      <c r="B96" s="206"/>
      <c r="C96" s="206"/>
      <c r="D96" s="206"/>
      <c r="E96" s="206"/>
      <c r="F96" s="206"/>
      <c r="G96" s="206"/>
    </row>
    <row r="97" spans="1:10" ht="15" x14ac:dyDescent="0.2">
      <c r="A97" s="152">
        <f>135778.13/12*3*2+33944.53</f>
        <v>101833.595</v>
      </c>
      <c r="B97" s="108">
        <v>2130</v>
      </c>
      <c r="C97" s="137">
        <f>A97*23.8/100</f>
        <v>24236.395610000003</v>
      </c>
      <c r="D97" s="108">
        <v>2110</v>
      </c>
      <c r="E97" s="137">
        <f>A97*8.5/100</f>
        <v>8655.8555749999996</v>
      </c>
      <c r="F97" s="106" t="s">
        <v>291</v>
      </c>
      <c r="G97" s="134" t="s">
        <v>292</v>
      </c>
    </row>
    <row r="98" spans="1:10" ht="15" x14ac:dyDescent="0.2">
      <c r="A98" s="153">
        <f>330/12*3*2+82.5</f>
        <v>247.5</v>
      </c>
      <c r="B98" s="108">
        <v>2130</v>
      </c>
      <c r="C98" s="137">
        <f>A98*23.8/100</f>
        <v>58.905000000000001</v>
      </c>
      <c r="D98" s="108">
        <v>2110</v>
      </c>
      <c r="E98" s="137">
        <f>A98*8.5/100</f>
        <v>21.037500000000001</v>
      </c>
      <c r="F98" s="106" t="s">
        <v>291</v>
      </c>
      <c r="G98" s="134" t="s">
        <v>293</v>
      </c>
      <c r="H98" s="70">
        <v>247.5</v>
      </c>
    </row>
    <row r="99" spans="1:10" ht="15.75" x14ac:dyDescent="0.25">
      <c r="A99" s="149"/>
      <c r="B99" s="139"/>
      <c r="C99" s="140"/>
      <c r="D99" s="141"/>
      <c r="E99" s="140"/>
      <c r="F99" s="139"/>
      <c r="G99" s="150"/>
    </row>
    <row r="100" spans="1:10" ht="22.5" x14ac:dyDescent="0.2">
      <c r="A100" s="152">
        <f>7920/12*3*2+1980</f>
        <v>5940</v>
      </c>
      <c r="B100" s="108" t="s">
        <v>294</v>
      </c>
      <c r="C100" s="137">
        <f>A100*23.8/100</f>
        <v>1413.72</v>
      </c>
      <c r="D100" s="108">
        <v>3370</v>
      </c>
      <c r="E100" s="137">
        <f>A100*8.5/100</f>
        <v>504.9</v>
      </c>
      <c r="F100" s="108" t="s">
        <v>295</v>
      </c>
      <c r="G100" s="154" t="s">
        <v>296</v>
      </c>
      <c r="H100" s="70">
        <v>5940</v>
      </c>
    </row>
    <row r="101" spans="1:10" ht="15.75" x14ac:dyDescent="0.25">
      <c r="A101" s="149"/>
      <c r="B101" s="139"/>
      <c r="C101" s="140"/>
      <c r="D101" s="141"/>
      <c r="E101" s="140"/>
      <c r="F101" s="139"/>
      <c r="G101" s="150"/>
    </row>
    <row r="102" spans="1:10" ht="15" x14ac:dyDescent="0.2">
      <c r="A102" s="155">
        <f>10793.02/12*3*2+2698.26</f>
        <v>8094.77</v>
      </c>
      <c r="B102" s="111">
        <v>3730</v>
      </c>
      <c r="C102" s="137">
        <f>A102*23.8/100</f>
        <v>1926.5552600000001</v>
      </c>
      <c r="D102" s="111">
        <v>3710</v>
      </c>
      <c r="E102" s="137">
        <f>A102*8.5/100</f>
        <v>688.05544999999995</v>
      </c>
      <c r="F102" s="104">
        <v>3740</v>
      </c>
      <c r="G102" s="134" t="s">
        <v>297</v>
      </c>
    </row>
    <row r="103" spans="1:10" ht="15.75" x14ac:dyDescent="0.25">
      <c r="A103" s="149"/>
      <c r="B103" s="139"/>
      <c r="C103" s="140"/>
      <c r="D103" s="141"/>
      <c r="E103" s="140"/>
      <c r="F103" s="139"/>
      <c r="G103" s="150"/>
    </row>
    <row r="104" spans="1:10" ht="15" x14ac:dyDescent="0.2">
      <c r="A104" s="156">
        <f>1650/12*3*2+412.5</f>
        <v>1237.5</v>
      </c>
      <c r="B104" s="106" t="s">
        <v>298</v>
      </c>
      <c r="C104" s="137">
        <f>A104*23.8/100</f>
        <v>294.52499999999998</v>
      </c>
      <c r="D104" s="108">
        <v>4160</v>
      </c>
      <c r="E104" s="137">
        <f>A104*8.5/100</f>
        <v>105.1875</v>
      </c>
      <c r="F104" s="106" t="s">
        <v>299</v>
      </c>
      <c r="G104" s="134" t="s">
        <v>300</v>
      </c>
      <c r="H104" s="70">
        <v>1237.5</v>
      </c>
    </row>
    <row r="105" spans="1:10" ht="15.75" x14ac:dyDescent="0.25">
      <c r="A105" s="149"/>
      <c r="B105" s="139"/>
      <c r="C105" s="140"/>
      <c r="D105" s="141"/>
      <c r="E105" s="140"/>
      <c r="F105" s="139"/>
      <c r="G105" s="150"/>
    </row>
    <row r="106" spans="1:10" ht="15" x14ac:dyDescent="0.2">
      <c r="A106" s="153">
        <f>13454.37/12*3*2+2970.83</f>
        <v>9698.0149999999994</v>
      </c>
      <c r="B106" s="104" t="s">
        <v>185</v>
      </c>
      <c r="C106" s="137">
        <f>A106*23.8/100</f>
        <v>2308.1275699999997</v>
      </c>
      <c r="D106" s="111">
        <v>5140</v>
      </c>
      <c r="E106" s="137">
        <f>A106*8.5/100</f>
        <v>824.33127500000001</v>
      </c>
      <c r="F106" s="104" t="s">
        <v>186</v>
      </c>
      <c r="G106" s="207" t="s">
        <v>301</v>
      </c>
    </row>
    <row r="107" spans="1:10" ht="15" x14ac:dyDescent="0.2">
      <c r="A107" s="153">
        <v>392.76</v>
      </c>
      <c r="B107" s="104" t="s">
        <v>302</v>
      </c>
      <c r="C107" s="137">
        <v>93.48</v>
      </c>
      <c r="D107" s="111">
        <v>8310</v>
      </c>
      <c r="E107" s="137">
        <v>33.380000000000003</v>
      </c>
      <c r="F107" s="104" t="s">
        <v>303</v>
      </c>
      <c r="G107" s="207"/>
    </row>
    <row r="108" spans="1:10" ht="15.75" x14ac:dyDescent="0.25">
      <c r="A108" s="149"/>
      <c r="B108" s="139"/>
      <c r="C108" s="140"/>
      <c r="D108" s="141"/>
      <c r="E108" s="140"/>
      <c r="F108" s="139"/>
      <c r="G108" s="150"/>
      <c r="I108" s="70">
        <f>21382.07/190701.67</f>
        <v>0.11212313977114095</v>
      </c>
    </row>
    <row r="109" spans="1:10" ht="15" x14ac:dyDescent="0.2">
      <c r="A109" s="136">
        <f>15033.86/12*3*2+3516.92</f>
        <v>11033.85</v>
      </c>
      <c r="B109" s="104" t="s">
        <v>187</v>
      </c>
      <c r="C109" s="137">
        <f>A109*23.8/100</f>
        <v>2626.0563000000002</v>
      </c>
      <c r="D109" s="111">
        <v>740</v>
      </c>
      <c r="E109" s="137">
        <f>A109*8.5/100</f>
        <v>937.87725</v>
      </c>
      <c r="F109" s="104" t="s">
        <v>286</v>
      </c>
      <c r="G109" s="207" t="s">
        <v>304</v>
      </c>
    </row>
    <row r="110" spans="1:10" ht="15" x14ac:dyDescent="0.2">
      <c r="A110" s="136">
        <v>241.55</v>
      </c>
      <c r="B110" s="104" t="s">
        <v>302</v>
      </c>
      <c r="C110" s="137">
        <v>57.49</v>
      </c>
      <c r="D110" s="111">
        <v>8310</v>
      </c>
      <c r="E110" s="137">
        <v>20.53</v>
      </c>
      <c r="F110" s="104" t="s">
        <v>303</v>
      </c>
      <c r="G110" s="207"/>
      <c r="J110" s="153"/>
    </row>
    <row r="111" spans="1:10" ht="15" x14ac:dyDescent="0.2">
      <c r="A111" s="138"/>
      <c r="B111" s="139"/>
      <c r="C111" s="157"/>
      <c r="D111" s="141"/>
      <c r="E111" s="157"/>
      <c r="F111" s="139"/>
      <c r="G111" s="150"/>
      <c r="J111" s="153"/>
    </row>
    <row r="112" spans="1:10" ht="15" x14ac:dyDescent="0.2">
      <c r="A112" s="136">
        <f>7016.82/12*3*2+1754.21</f>
        <v>5262.62</v>
      </c>
      <c r="B112" s="104" t="s">
        <v>302</v>
      </c>
      <c r="C112" s="137">
        <f>A112*23.8/100</f>
        <v>1252.5035600000001</v>
      </c>
      <c r="D112" s="111">
        <v>8310</v>
      </c>
      <c r="E112" s="137">
        <f>A112*8.5/100</f>
        <v>447.32269999999994</v>
      </c>
      <c r="F112" s="104" t="s">
        <v>303</v>
      </c>
      <c r="G112" s="134" t="s">
        <v>305</v>
      </c>
    </row>
    <row r="113" spans="1:8" ht="15.75" x14ac:dyDescent="0.25">
      <c r="A113" s="149"/>
      <c r="B113" s="139"/>
      <c r="C113" s="140"/>
      <c r="D113" s="141"/>
      <c r="E113" s="140"/>
      <c r="F113" s="139"/>
      <c r="G113" s="150"/>
    </row>
    <row r="114" spans="1:8" ht="15" x14ac:dyDescent="0.2">
      <c r="A114" s="136">
        <f>7028.23/12*3*2+1757.06</f>
        <v>5271.1749999999993</v>
      </c>
      <c r="B114" s="104" t="s">
        <v>306</v>
      </c>
      <c r="C114" s="137">
        <f>A114*23.8/100</f>
        <v>1254.5396499999997</v>
      </c>
      <c r="D114" s="111" t="s">
        <v>307</v>
      </c>
      <c r="E114" s="137">
        <f>A114*8.5/100</f>
        <v>448.04987499999993</v>
      </c>
      <c r="F114" s="104" t="s">
        <v>308</v>
      </c>
      <c r="G114" s="134" t="s">
        <v>309</v>
      </c>
    </row>
    <row r="115" spans="1:8" ht="15" x14ac:dyDescent="0.2">
      <c r="A115" s="158"/>
      <c r="B115" s="104"/>
      <c r="C115" s="158"/>
      <c r="D115" s="104"/>
      <c r="E115" s="158"/>
      <c r="F115" s="134"/>
      <c r="G115" s="134"/>
      <c r="H115" s="70">
        <f>SUM(H84:H114)</f>
        <v>14250</v>
      </c>
    </row>
    <row r="116" spans="1:8" ht="15" x14ac:dyDescent="0.2">
      <c r="A116" s="159"/>
      <c r="B116" s="160"/>
      <c r="C116" s="159"/>
      <c r="D116" s="161"/>
      <c r="E116" s="159"/>
      <c r="F116" s="161"/>
      <c r="G116" s="132"/>
    </row>
    <row r="117" spans="1:8" ht="15.75" x14ac:dyDescent="0.25">
      <c r="A117" s="162">
        <f>SUM(A84:A114)</f>
        <v>204951.66999999995</v>
      </c>
      <c r="B117" s="160"/>
      <c r="C117" s="162">
        <f>SUM(C84:C114)</f>
        <v>48778.508520000003</v>
      </c>
      <c r="D117" s="161"/>
      <c r="E117" s="162">
        <f>SUM(E84:E114)</f>
        <v>17420.885599999998</v>
      </c>
      <c r="F117" s="161"/>
      <c r="G117" s="132"/>
    </row>
    <row r="120" spans="1:8" ht="24.6" customHeight="1" x14ac:dyDescent="0.35">
      <c r="A120"/>
      <c r="B120" s="208" t="s">
        <v>310</v>
      </c>
      <c r="C120" s="208"/>
      <c r="D120" s="208"/>
      <c r="E120" s="208"/>
      <c r="F120" s="57" t="s">
        <v>311</v>
      </c>
      <c r="G120" s="163"/>
      <c r="H120" s="163"/>
    </row>
    <row r="121" spans="1:8" ht="23.25" x14ac:dyDescent="0.35">
      <c r="A121"/>
      <c r="B121"/>
      <c r="C121"/>
      <c r="D121"/>
      <c r="E121" s="164"/>
      <c r="F121"/>
      <c r="G121" s="164"/>
      <c r="H121" s="164"/>
    </row>
    <row r="122" spans="1:8" ht="47.25" x14ac:dyDescent="0.25">
      <c r="A122" s="165" t="s">
        <v>312</v>
      </c>
      <c r="B122" s="166" t="s">
        <v>313</v>
      </c>
      <c r="C122" s="165" t="s">
        <v>314</v>
      </c>
      <c r="D122" s="60" t="s">
        <v>315</v>
      </c>
      <c r="E122" s="60" t="s">
        <v>316</v>
      </c>
      <c r="F122" s="167" t="s">
        <v>317</v>
      </c>
      <c r="G122" s="60" t="s">
        <v>318</v>
      </c>
      <c r="H122" s="60"/>
    </row>
    <row r="123" spans="1:8" ht="75" x14ac:dyDescent="0.2">
      <c r="A123" s="168">
        <v>1</v>
      </c>
      <c r="B123" s="169" t="s">
        <v>319</v>
      </c>
      <c r="C123" s="170" t="s">
        <v>320</v>
      </c>
      <c r="D123" s="171">
        <v>12911.42</v>
      </c>
      <c r="E123" s="171">
        <f>1875+3034.79+0.01</f>
        <v>4909.8</v>
      </c>
      <c r="F123" s="172" t="s">
        <v>298</v>
      </c>
      <c r="G123" s="171">
        <f>E123*25/100</f>
        <v>1227.45</v>
      </c>
      <c r="H123" s="171"/>
    </row>
    <row r="124" spans="1:8" ht="29.85" customHeight="1" x14ac:dyDescent="0.2">
      <c r="A124" s="209">
        <v>2</v>
      </c>
      <c r="B124" s="210" t="s">
        <v>321</v>
      </c>
      <c r="C124" s="170" t="s">
        <v>322</v>
      </c>
      <c r="D124" s="171">
        <v>7500</v>
      </c>
      <c r="E124" s="171">
        <v>7500</v>
      </c>
      <c r="F124" s="172" t="s">
        <v>323</v>
      </c>
      <c r="G124" s="171">
        <f>E124*25/100</f>
        <v>1875</v>
      </c>
      <c r="H124" s="171"/>
    </row>
    <row r="125" spans="1:8" ht="90" x14ac:dyDescent="0.2">
      <c r="A125" s="209"/>
      <c r="B125" s="210"/>
      <c r="C125" s="170" t="s">
        <v>324</v>
      </c>
      <c r="D125" s="171">
        <v>12911.42</v>
      </c>
      <c r="E125" s="171">
        <v>12911.42</v>
      </c>
      <c r="F125" s="172" t="s">
        <v>323</v>
      </c>
      <c r="G125" s="171">
        <f>E125*25/100</f>
        <v>3227.855</v>
      </c>
      <c r="H125" s="171"/>
    </row>
    <row r="126" spans="1:8" ht="43.35" customHeight="1" x14ac:dyDescent="0.2">
      <c r="A126" s="211">
        <v>2</v>
      </c>
      <c r="B126" s="212" t="s">
        <v>325</v>
      </c>
      <c r="C126" s="170" t="s">
        <v>326</v>
      </c>
      <c r="D126" s="171">
        <v>12911.42</v>
      </c>
      <c r="E126" s="171">
        <v>12911.42</v>
      </c>
      <c r="F126" s="172" t="s">
        <v>306</v>
      </c>
      <c r="G126" s="171">
        <f>E126*25/100</f>
        <v>3227.855</v>
      </c>
      <c r="H126" s="171"/>
    </row>
    <row r="127" spans="1:8" ht="60" x14ac:dyDescent="0.2">
      <c r="A127" s="211"/>
      <c r="B127" s="212"/>
      <c r="C127" s="170" t="s">
        <v>327</v>
      </c>
      <c r="D127" s="171">
        <v>5164.47</v>
      </c>
      <c r="E127" s="171">
        <v>5164.47</v>
      </c>
      <c r="F127" s="172" t="s">
        <v>328</v>
      </c>
      <c r="G127" s="171">
        <f>E127*25/100</f>
        <v>1291.1175000000001</v>
      </c>
      <c r="H127" s="171"/>
    </row>
    <row r="128" spans="1:8" ht="45" x14ac:dyDescent="0.2">
      <c r="A128" s="173">
        <v>1</v>
      </c>
      <c r="B128" s="169" t="s">
        <v>329</v>
      </c>
      <c r="C128" s="170" t="s">
        <v>330</v>
      </c>
      <c r="D128" s="171">
        <v>7500</v>
      </c>
      <c r="E128" s="171">
        <v>6725.29</v>
      </c>
      <c r="F128" s="172" t="s">
        <v>331</v>
      </c>
      <c r="G128" s="171">
        <v>1875</v>
      </c>
      <c r="H128" s="171"/>
    </row>
    <row r="129" spans="1:8" ht="45" x14ac:dyDescent="0.2">
      <c r="A129" s="173">
        <v>1</v>
      </c>
      <c r="B129" s="169" t="s">
        <v>332</v>
      </c>
      <c r="C129" s="91" t="s">
        <v>333</v>
      </c>
      <c r="D129" s="171">
        <v>5164.47</v>
      </c>
      <c r="E129" s="171">
        <v>5164.47</v>
      </c>
      <c r="F129" s="172" t="s">
        <v>334</v>
      </c>
      <c r="G129" s="171">
        <f t="shared" ref="G129:G136" si="5">E129*25/100</f>
        <v>1291.1175000000001</v>
      </c>
      <c r="H129" s="171"/>
    </row>
    <row r="130" spans="1:8" ht="90" x14ac:dyDescent="0.2">
      <c r="A130" s="173">
        <v>1</v>
      </c>
      <c r="B130" s="169" t="s">
        <v>335</v>
      </c>
      <c r="C130" s="91" t="s">
        <v>336</v>
      </c>
      <c r="D130" s="171">
        <v>7500</v>
      </c>
      <c r="E130" s="171">
        <v>7500</v>
      </c>
      <c r="F130" s="172" t="s">
        <v>278</v>
      </c>
      <c r="G130" s="171">
        <f t="shared" si="5"/>
        <v>1875</v>
      </c>
      <c r="H130" s="171"/>
    </row>
    <row r="131" spans="1:8" ht="56.65" customHeight="1" x14ac:dyDescent="0.2">
      <c r="A131" s="209">
        <v>2</v>
      </c>
      <c r="B131" s="213" t="s">
        <v>337</v>
      </c>
      <c r="C131" s="91" t="s">
        <v>338</v>
      </c>
      <c r="D131" s="171">
        <v>7500</v>
      </c>
      <c r="E131" s="171">
        <v>7500</v>
      </c>
      <c r="F131" s="172" t="s">
        <v>282</v>
      </c>
      <c r="G131" s="171">
        <f t="shared" si="5"/>
        <v>1875</v>
      </c>
      <c r="H131" s="171"/>
    </row>
    <row r="132" spans="1:8" ht="60" x14ac:dyDescent="0.2">
      <c r="A132" s="209"/>
      <c r="B132" s="213"/>
      <c r="C132" s="91" t="s">
        <v>339</v>
      </c>
      <c r="D132" s="171">
        <v>7500</v>
      </c>
      <c r="E132" s="171">
        <v>7500</v>
      </c>
      <c r="F132" s="172" t="s">
        <v>282</v>
      </c>
      <c r="G132" s="171">
        <f t="shared" si="5"/>
        <v>1875</v>
      </c>
      <c r="H132" s="171"/>
    </row>
    <row r="133" spans="1:8" ht="30" x14ac:dyDescent="0.2">
      <c r="A133" s="173">
        <v>1</v>
      </c>
      <c r="B133" s="169" t="s">
        <v>340</v>
      </c>
      <c r="C133" s="91" t="s">
        <v>341</v>
      </c>
      <c r="D133" s="171">
        <v>7500</v>
      </c>
      <c r="E133" s="171">
        <v>3716.74</v>
      </c>
      <c r="F133" s="172" t="s">
        <v>342</v>
      </c>
      <c r="G133" s="171">
        <f t="shared" si="5"/>
        <v>929.18499999999995</v>
      </c>
      <c r="H133" s="171">
        <f>D133-E133</f>
        <v>3783.26</v>
      </c>
    </row>
    <row r="134" spans="1:8" ht="30" x14ac:dyDescent="0.2">
      <c r="A134" s="173">
        <v>1</v>
      </c>
      <c r="B134" s="169" t="s">
        <v>343</v>
      </c>
      <c r="C134" s="169" t="s">
        <v>344</v>
      </c>
      <c r="D134" s="171">
        <v>7500</v>
      </c>
      <c r="E134" s="171">
        <v>7355.79</v>
      </c>
      <c r="F134" s="172" t="s">
        <v>345</v>
      </c>
      <c r="G134" s="171">
        <f t="shared" si="5"/>
        <v>1838.9475</v>
      </c>
      <c r="H134" s="171"/>
    </row>
    <row r="135" spans="1:8" ht="29.85" customHeight="1" x14ac:dyDescent="0.2">
      <c r="A135" s="209">
        <v>2</v>
      </c>
      <c r="B135" s="213" t="s">
        <v>346</v>
      </c>
      <c r="C135" s="169" t="s">
        <v>347</v>
      </c>
      <c r="D135" s="171">
        <v>5164.47</v>
      </c>
      <c r="E135" s="171">
        <v>3874.74</v>
      </c>
      <c r="F135" s="172" t="s">
        <v>274</v>
      </c>
      <c r="G135" s="171">
        <f t="shared" si="5"/>
        <v>968.68499999999995</v>
      </c>
      <c r="H135" s="171"/>
    </row>
    <row r="136" spans="1:8" ht="45" x14ac:dyDescent="0.2">
      <c r="A136" s="209"/>
      <c r="B136" s="213"/>
      <c r="C136" s="169" t="s">
        <v>348</v>
      </c>
      <c r="D136" s="171">
        <v>5164.47</v>
      </c>
      <c r="E136" s="171">
        <v>3297.44</v>
      </c>
      <c r="F136" s="172" t="s">
        <v>274</v>
      </c>
      <c r="G136" s="171">
        <f t="shared" si="5"/>
        <v>824.36</v>
      </c>
      <c r="H136" s="171"/>
    </row>
    <row r="137" spans="1:8" ht="15.75" x14ac:dyDescent="0.25">
      <c r="A137" s="165">
        <f>SUM(A123:A136)</f>
        <v>14</v>
      </c>
      <c r="B137" s="174"/>
      <c r="C137" s="175"/>
      <c r="D137" s="171">
        <f>SUM(D123:D136)</f>
        <v>111892.14</v>
      </c>
      <c r="E137" s="171">
        <f>SUM(E123:E136)</f>
        <v>96031.58</v>
      </c>
      <c r="F137" s="176"/>
      <c r="G137" s="171">
        <f>SUM(G123:G136)</f>
        <v>24201.572500000002</v>
      </c>
      <c r="H137" s="171"/>
    </row>
    <row r="138" spans="1:8" ht="15.75" x14ac:dyDescent="0.25">
      <c r="A138"/>
      <c r="B138"/>
      <c r="C138"/>
      <c r="D138"/>
      <c r="E138"/>
      <c r="F138" s="176"/>
      <c r="G138"/>
      <c r="H138"/>
    </row>
    <row r="139" spans="1:8" ht="15" x14ac:dyDescent="0.2">
      <c r="A139" s="177"/>
      <c r="B139" s="178" t="s">
        <v>349</v>
      </c>
      <c r="C139" s="179"/>
      <c r="D139" s="180"/>
      <c r="E139" s="181"/>
      <c r="F139" s="176"/>
      <c r="G139" s="181"/>
      <c r="H139" s="181"/>
    </row>
    <row r="140" spans="1:8" ht="15" x14ac:dyDescent="0.2">
      <c r="A140" s="177"/>
      <c r="B140" s="178"/>
      <c r="C140" s="179"/>
      <c r="D140" s="180"/>
      <c r="E140" s="181"/>
      <c r="F140" s="176"/>
      <c r="G140" s="181"/>
      <c r="H140" s="181"/>
    </row>
    <row r="141" spans="1:8" ht="15.75" x14ac:dyDescent="0.25">
      <c r="A141" s="182"/>
      <c r="B141" s="183" t="s">
        <v>350</v>
      </c>
      <c r="C141" s="184"/>
      <c r="D141" s="171"/>
      <c r="E141" s="185">
        <f>E137+G137+0.01</f>
        <v>120233.16249999999</v>
      </c>
      <c r="F141" s="176"/>
      <c r="G141" s="185"/>
      <c r="H141" s="185"/>
    </row>
    <row r="142" spans="1:8" ht="15" hidden="1" x14ac:dyDescent="0.2">
      <c r="A142" s="186">
        <v>84949.32</v>
      </c>
      <c r="B142" s="187" t="e">
        <f>A142/#REF!</f>
        <v>#REF!</v>
      </c>
    </row>
    <row r="143" spans="1:8" hidden="1" x14ac:dyDescent="0.2"/>
    <row r="144" spans="1:8" hidden="1" x14ac:dyDescent="0.2"/>
    <row r="145" spans="1:7" ht="15" hidden="1" x14ac:dyDescent="0.2">
      <c r="A145" s="136" t="e">
        <f>2700.17/12*3*2*B142</f>
        <v>#REF!</v>
      </c>
      <c r="B145" s="104" t="s">
        <v>274</v>
      </c>
      <c r="C145" s="137" t="e">
        <f t="shared" ref="C145:C153" si="6">A145*23.8/100</f>
        <v>#REF!</v>
      </c>
      <c r="D145" s="106">
        <v>210</v>
      </c>
      <c r="E145" s="137" t="e">
        <f t="shared" ref="E145:E153" si="7">A145*8.5/100</f>
        <v>#REF!</v>
      </c>
      <c r="F145" s="106" t="s">
        <v>275</v>
      </c>
      <c r="G145" s="134" t="s">
        <v>277</v>
      </c>
    </row>
    <row r="146" spans="1:7" ht="15" hidden="1" x14ac:dyDescent="0.2">
      <c r="A146" s="148" t="e">
        <f>60115.76/12*3*2*B142</f>
        <v>#REF!</v>
      </c>
      <c r="B146" s="108">
        <v>760</v>
      </c>
      <c r="C146" s="137" t="e">
        <f t="shared" si="6"/>
        <v>#REF!</v>
      </c>
      <c r="D146" s="108">
        <v>740</v>
      </c>
      <c r="E146" s="137" t="e">
        <f t="shared" si="7"/>
        <v>#REF!</v>
      </c>
      <c r="F146" s="106" t="s">
        <v>286</v>
      </c>
      <c r="G146" s="134" t="s">
        <v>287</v>
      </c>
    </row>
    <row r="147" spans="1:7" ht="15" hidden="1" x14ac:dyDescent="0.2">
      <c r="A147" s="137" t="e">
        <f>2348.52/12*3*2*B142</f>
        <v>#REF!</v>
      </c>
      <c r="B147" s="108">
        <v>930</v>
      </c>
      <c r="C147" s="137" t="e">
        <f t="shared" si="6"/>
        <v>#REF!</v>
      </c>
      <c r="D147" s="108">
        <v>910</v>
      </c>
      <c r="E147" s="137" t="e">
        <f t="shared" si="7"/>
        <v>#REF!</v>
      </c>
      <c r="F147" s="106" t="s">
        <v>255</v>
      </c>
      <c r="G147" s="134" t="s">
        <v>289</v>
      </c>
    </row>
    <row r="148" spans="1:7" ht="15" hidden="1" x14ac:dyDescent="0.2">
      <c r="A148" s="152" t="e">
        <f>135778.13/12*3*2*B142</f>
        <v>#REF!</v>
      </c>
      <c r="B148" s="108">
        <v>2130</v>
      </c>
      <c r="C148" s="137" t="e">
        <f t="shared" si="6"/>
        <v>#REF!</v>
      </c>
      <c r="D148" s="108">
        <v>2110</v>
      </c>
      <c r="E148" s="137" t="e">
        <f t="shared" si="7"/>
        <v>#REF!</v>
      </c>
      <c r="F148" s="106" t="s">
        <v>291</v>
      </c>
      <c r="G148" s="134" t="s">
        <v>292</v>
      </c>
    </row>
    <row r="149" spans="1:7" ht="15" hidden="1" x14ac:dyDescent="0.2">
      <c r="A149" s="155" t="e">
        <f>10793.02/12*3*2*B142</f>
        <v>#REF!</v>
      </c>
      <c r="B149" s="111">
        <v>3730</v>
      </c>
      <c r="C149" s="137" t="e">
        <f t="shared" si="6"/>
        <v>#REF!</v>
      </c>
      <c r="D149" s="104">
        <v>3710</v>
      </c>
      <c r="E149" s="137" t="e">
        <f t="shared" si="7"/>
        <v>#REF!</v>
      </c>
      <c r="F149" s="104">
        <v>3740</v>
      </c>
      <c r="G149" s="134" t="s">
        <v>297</v>
      </c>
    </row>
    <row r="150" spans="1:7" ht="15" hidden="1" x14ac:dyDescent="0.2">
      <c r="A150" s="153" t="e">
        <f>13454.37/12*3*2*B142</f>
        <v>#REF!</v>
      </c>
      <c r="B150" s="104" t="s">
        <v>185</v>
      </c>
      <c r="C150" s="137" t="e">
        <f t="shared" si="6"/>
        <v>#REF!</v>
      </c>
      <c r="D150" s="104">
        <v>5140</v>
      </c>
      <c r="E150" s="137" t="e">
        <f t="shared" si="7"/>
        <v>#REF!</v>
      </c>
      <c r="F150" s="104" t="s">
        <v>186</v>
      </c>
      <c r="G150" s="134" t="s">
        <v>301</v>
      </c>
    </row>
    <row r="151" spans="1:7" ht="15" hidden="1" x14ac:dyDescent="0.2">
      <c r="A151" s="136" t="e">
        <f>15033.86/12*3*2*B142</f>
        <v>#REF!</v>
      </c>
      <c r="B151" s="104" t="s">
        <v>187</v>
      </c>
      <c r="C151" s="137" t="e">
        <f t="shared" si="6"/>
        <v>#REF!</v>
      </c>
      <c r="D151" s="104">
        <v>6320</v>
      </c>
      <c r="E151" s="137" t="e">
        <f t="shared" si="7"/>
        <v>#REF!</v>
      </c>
      <c r="F151" s="104" t="s">
        <v>188</v>
      </c>
      <c r="G151" s="134" t="s">
        <v>304</v>
      </c>
    </row>
    <row r="152" spans="1:7" ht="15" hidden="1" x14ac:dyDescent="0.2">
      <c r="A152" s="136" t="e">
        <f>7016.82/12*3*2*B142</f>
        <v>#REF!</v>
      </c>
      <c r="B152" s="104" t="s">
        <v>302</v>
      </c>
      <c r="C152" s="137" t="e">
        <f t="shared" si="6"/>
        <v>#REF!</v>
      </c>
      <c r="D152" s="104">
        <v>8310</v>
      </c>
      <c r="E152" s="137" t="e">
        <f t="shared" si="7"/>
        <v>#REF!</v>
      </c>
      <c r="F152" s="104" t="s">
        <v>303</v>
      </c>
      <c r="G152" s="134" t="s">
        <v>305</v>
      </c>
    </row>
    <row r="153" spans="1:7" ht="15" hidden="1" x14ac:dyDescent="0.2">
      <c r="A153" s="136" t="e">
        <f>7028.23/12*3*2*B142</f>
        <v>#REF!</v>
      </c>
      <c r="B153" s="104" t="s">
        <v>306</v>
      </c>
      <c r="C153" s="137" t="e">
        <f t="shared" si="6"/>
        <v>#REF!</v>
      </c>
      <c r="D153" s="104" t="s">
        <v>307</v>
      </c>
      <c r="E153" s="137" t="e">
        <f t="shared" si="7"/>
        <v>#REF!</v>
      </c>
      <c r="F153" s="104" t="s">
        <v>308</v>
      </c>
      <c r="G153" s="134" t="s">
        <v>309</v>
      </c>
    </row>
    <row r="154" spans="1:7" ht="15" hidden="1" x14ac:dyDescent="0.2">
      <c r="A154" s="158" t="e">
        <f>SUM(A145:A153)</f>
        <v>#REF!</v>
      </c>
      <c r="B154" s="104"/>
      <c r="C154" s="158"/>
      <c r="D154" s="104"/>
      <c r="E154" s="158"/>
      <c r="F154" s="134"/>
      <c r="G154" s="134"/>
    </row>
  </sheetData>
  <sheetProtection selectLockedCells="1" selectUnlockedCells="1"/>
  <mergeCells count="36">
    <mergeCell ref="A126:A127"/>
    <mergeCell ref="B126:B127"/>
    <mergeCell ref="A131:A132"/>
    <mergeCell ref="B131:B132"/>
    <mergeCell ref="A135:A136"/>
    <mergeCell ref="B135:B136"/>
    <mergeCell ref="A96:G96"/>
    <mergeCell ref="G106:G107"/>
    <mergeCell ref="G109:G110"/>
    <mergeCell ref="B120:E120"/>
    <mergeCell ref="A124:A125"/>
    <mergeCell ref="B124:B125"/>
    <mergeCell ref="A55:A57"/>
    <mergeCell ref="B55:B56"/>
    <mergeCell ref="A58:B58"/>
    <mergeCell ref="A59:B60"/>
    <mergeCell ref="A62:B62"/>
    <mergeCell ref="A63:B78"/>
    <mergeCell ref="A23:B23"/>
    <mergeCell ref="A24:B24"/>
    <mergeCell ref="A26:B36"/>
    <mergeCell ref="A38:B44"/>
    <mergeCell ref="A50:I51"/>
    <mergeCell ref="A53:B54"/>
    <mergeCell ref="A16:B16"/>
    <mergeCell ref="A17:B17"/>
    <mergeCell ref="A18:B18"/>
    <mergeCell ref="A19:B19"/>
    <mergeCell ref="A20:B20"/>
    <mergeCell ref="A21:B22"/>
    <mergeCell ref="A7:I8"/>
    <mergeCell ref="A10:B11"/>
    <mergeCell ref="A12:B12"/>
    <mergeCell ref="A13:B13"/>
    <mergeCell ref="A14:B14"/>
    <mergeCell ref="A15:B15"/>
  </mergeCells>
  <pageMargins left="0.27569444444444446" right="0.27569444444444446" top="0.54097222222222219" bottom="0.61944444444444446" header="0.27569444444444446" footer="0.35416666666666669"/>
  <pageSetup paperSize="9" scale="58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  <rowBreaks count="3" manualBreakCount="3">
    <brk id="49" max="16383" man="1"/>
    <brk id="118" max="16383" man="1"/>
    <brk id="14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TABELLA A</vt:lpstr>
      <vt:lpstr>TABELLA B</vt:lpstr>
      <vt:lpstr>TABELLA C</vt:lpstr>
      <vt:lpstr>'TABELLA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</dc:creator>
  <cp:lastModifiedBy>User</cp:lastModifiedBy>
  <dcterms:created xsi:type="dcterms:W3CDTF">2017-12-12T10:08:41Z</dcterms:created>
  <dcterms:modified xsi:type="dcterms:W3CDTF">2017-12-12T10:09:14Z</dcterms:modified>
</cp:coreProperties>
</file>